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15" windowHeight="7965" activeTab="1"/>
  </bookViews>
  <sheets>
    <sheet name="Team" sheetId="2" r:id="rId1"/>
    <sheet name="Scoreboard" sheetId="1" r:id="rId2"/>
  </sheets>
  <calcPr calcId="125725"/>
</workbook>
</file>

<file path=xl/calcChain.xml><?xml version="1.0" encoding="utf-8"?>
<calcChain xmlns="http://schemas.openxmlformats.org/spreadsheetml/2006/main">
  <c r="X22" i="1"/>
  <c r="X26"/>
  <c r="X24"/>
  <c r="X20"/>
  <c r="X21"/>
  <c r="X15"/>
  <c r="X12"/>
  <c r="X23"/>
  <c r="X13"/>
  <c r="X18"/>
  <c r="X10"/>
  <c r="X16"/>
  <c r="X8"/>
  <c r="X17"/>
  <c r="X14"/>
  <c r="X7"/>
  <c r="X6"/>
  <c r="Y6" s="1"/>
  <c r="X9"/>
  <c r="X11"/>
  <c r="X5"/>
  <c r="T5"/>
  <c r="T26"/>
  <c r="T20"/>
  <c r="T13"/>
  <c r="T22"/>
  <c r="T24"/>
  <c r="T10"/>
  <c r="T12"/>
  <c r="U12" s="1"/>
  <c r="T21"/>
  <c r="T15"/>
  <c r="T16"/>
  <c r="U16" s="1"/>
  <c r="T14"/>
  <c r="T23"/>
  <c r="T18"/>
  <c r="T17"/>
  <c r="T9"/>
  <c r="T8"/>
  <c r="T11"/>
  <c r="T6"/>
  <c r="T7"/>
  <c r="P25"/>
  <c r="P24"/>
  <c r="P26"/>
  <c r="P12"/>
  <c r="P13"/>
  <c r="P20"/>
  <c r="P21"/>
  <c r="P14"/>
  <c r="P9"/>
  <c r="P10"/>
  <c r="P16"/>
  <c r="P17"/>
  <c r="P15"/>
  <c r="P11"/>
  <c r="P6"/>
  <c r="P18"/>
  <c r="P23"/>
  <c r="P5"/>
  <c r="P7"/>
  <c r="P8"/>
  <c r="L19"/>
  <c r="L12"/>
  <c r="L13"/>
  <c r="L16"/>
  <c r="L9"/>
  <c r="L21"/>
  <c r="L24"/>
  <c r="L11"/>
  <c r="L26"/>
  <c r="L6"/>
  <c r="L14"/>
  <c r="L15"/>
  <c r="L20"/>
  <c r="L18"/>
  <c r="L5"/>
  <c r="L10"/>
  <c r="L17"/>
  <c r="L7"/>
  <c r="L23"/>
  <c r="L8"/>
  <c r="AG27"/>
  <c r="AG25"/>
  <c r="AG19"/>
  <c r="AG22"/>
  <c r="B5" i="2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E26" s="1"/>
  <c r="AG30" i="1"/>
  <c r="AG29"/>
  <c r="AG28"/>
  <c r="AG26"/>
  <c r="AG24"/>
  <c r="AG20"/>
  <c r="AG21"/>
  <c r="AG15"/>
  <c r="AG12"/>
  <c r="AG23"/>
  <c r="AG13"/>
  <c r="AG18"/>
  <c r="AG10"/>
  <c r="AG16"/>
  <c r="AG8"/>
  <c r="AG17"/>
  <c r="AG14"/>
  <c r="AG7"/>
  <c r="AG6"/>
  <c r="AG9"/>
  <c r="AG11"/>
  <c r="AG4"/>
  <c r="M9" s="1"/>
  <c r="AF5"/>
  <c r="AG5" s="1"/>
  <c r="Y24" l="1"/>
  <c r="Y20"/>
  <c r="Y9"/>
  <c r="Q17"/>
  <c r="U21"/>
  <c r="M13"/>
  <c r="Q13"/>
  <c r="U11"/>
  <c r="U15"/>
  <c r="U6"/>
  <c r="Q16"/>
  <c r="Q21"/>
  <c r="E5" i="2"/>
  <c r="E17"/>
  <c r="E25"/>
  <c r="E16"/>
  <c r="E20"/>
  <c r="E7"/>
  <c r="E11"/>
  <c r="E19"/>
  <c r="E6"/>
  <c r="E10"/>
  <c r="E14"/>
  <c r="E22"/>
  <c r="AH5" i="1" l="1"/>
  <c r="AI5" s="1"/>
  <c r="D25"/>
  <c r="H6"/>
  <c r="M25" l="1"/>
  <c r="U18"/>
  <c r="Y7"/>
  <c r="U17"/>
  <c r="D22"/>
  <c r="D9"/>
  <c r="H23"/>
  <c r="H12"/>
  <c r="AH11" l="1"/>
  <c r="AI11" s="1"/>
  <c r="AH9"/>
  <c r="AI9" s="1"/>
  <c r="D17" l="1"/>
  <c r="H17"/>
  <c r="D7"/>
  <c r="H7"/>
  <c r="D15"/>
  <c r="H15"/>
  <c r="D20"/>
  <c r="H20"/>
  <c r="D14"/>
  <c r="H14"/>
  <c r="D27"/>
  <c r="H27"/>
  <c r="D8"/>
  <c r="H8"/>
  <c r="H25"/>
  <c r="D23"/>
  <c r="Z23" s="1"/>
  <c r="D10"/>
  <c r="H10"/>
  <c r="H9"/>
  <c r="D16"/>
  <c r="H16"/>
  <c r="D24"/>
  <c r="H24"/>
  <c r="D18"/>
  <c r="H18"/>
  <c r="H5"/>
  <c r="D11"/>
  <c r="H11"/>
  <c r="D12"/>
  <c r="Z12" s="1"/>
  <c r="D13"/>
  <c r="D6"/>
  <c r="Z6" s="1"/>
  <c r="H19"/>
  <c r="D21"/>
  <c r="H21"/>
  <c r="AH6"/>
  <c r="AI6" s="1"/>
  <c r="AH20"/>
  <c r="AI20" s="1"/>
  <c r="AH12"/>
  <c r="AI12" s="1"/>
  <c r="AH19"/>
  <c r="AI19" s="1"/>
  <c r="AH23"/>
  <c r="AI23" s="1"/>
  <c r="AH15"/>
  <c r="AI15" s="1"/>
  <c r="AH10"/>
  <c r="AI10" s="1"/>
  <c r="AH13"/>
  <c r="AI13" s="1"/>
  <c r="AH16"/>
  <c r="AI16" s="1"/>
  <c r="AH22"/>
  <c r="AI22" s="1"/>
  <c r="AH21"/>
  <c r="AI21" s="1"/>
  <c r="AH7"/>
  <c r="AI7" s="1"/>
  <c r="AH18"/>
  <c r="AI18" s="1"/>
  <c r="AH8"/>
  <c r="AI8" s="1"/>
  <c r="AH14"/>
  <c r="AI14" s="1"/>
  <c r="AH27"/>
  <c r="AI27" s="1"/>
  <c r="AH26"/>
  <c r="AI26" s="1"/>
  <c r="AH17"/>
  <c r="AI17" s="1"/>
  <c r="AH25"/>
  <c r="AI25" s="1"/>
  <c r="AH24"/>
  <c r="AI24" s="1"/>
  <c r="Z19" l="1"/>
  <c r="Z5"/>
  <c r="I5"/>
  <c r="Z10"/>
  <c r="I10"/>
  <c r="Z21"/>
  <c r="Z9"/>
  <c r="Z26"/>
  <c r="Z25"/>
  <c r="Z20"/>
  <c r="Z22"/>
  <c r="Z16"/>
  <c r="Z15"/>
  <c r="Z7"/>
  <c r="Z18"/>
  <c r="Z27"/>
  <c r="Z13"/>
  <c r="Z11"/>
  <c r="Z24"/>
  <c r="Z14"/>
  <c r="Z17"/>
  <c r="Z8" l="1"/>
  <c r="M8" l="1"/>
  <c r="M23"/>
  <c r="U26"/>
  <c r="Q26"/>
  <c r="U20"/>
  <c r="Q12"/>
  <c r="Q24"/>
  <c r="Q25" l="1"/>
  <c r="Y21"/>
  <c r="M14"/>
  <c r="M16"/>
  <c r="I17"/>
  <c r="M15"/>
  <c r="I14"/>
  <c r="I13"/>
  <c r="M21"/>
  <c r="Y15"/>
  <c r="M22"/>
  <c r="E4" i="2"/>
  <c r="F19" l="1"/>
  <c r="F5"/>
  <c r="F26"/>
  <c r="F11"/>
  <c r="F7"/>
  <c r="F4"/>
  <c r="F16"/>
  <c r="F25"/>
  <c r="F6"/>
  <c r="F14"/>
  <c r="F17"/>
  <c r="F22"/>
  <c r="F20" l="1"/>
  <c r="G10"/>
  <c r="F10"/>
  <c r="E12" l="1"/>
  <c r="E24"/>
  <c r="E23"/>
  <c r="F23" s="1"/>
  <c r="E13"/>
  <c r="F12" l="1"/>
  <c r="F13"/>
  <c r="G24"/>
  <c r="F24"/>
  <c r="Q7" i="1"/>
  <c r="Q8"/>
  <c r="Y13"/>
  <c r="Q14"/>
  <c r="U14"/>
  <c r="Y18"/>
  <c r="Q20"/>
  <c r="U23"/>
  <c r="M27"/>
  <c r="E21" i="2"/>
  <c r="E8"/>
  <c r="F8" s="1"/>
  <c r="E18"/>
  <c r="F18" s="1"/>
  <c r="E9"/>
  <c r="E15"/>
  <c r="F15" s="1"/>
  <c r="F9" l="1"/>
  <c r="G8"/>
  <c r="F21"/>
  <c r="E9" i="1" l="1"/>
  <c r="Q27"/>
  <c r="M7"/>
  <c r="Q19"/>
  <c r="E15"/>
  <c r="I9"/>
  <c r="M17"/>
  <c r="I21" l="1"/>
  <c r="Y14"/>
  <c r="I6"/>
  <c r="E21" l="1"/>
  <c r="AA21" s="1"/>
  <c r="M19"/>
  <c r="M12"/>
  <c r="I7"/>
  <c r="E14"/>
  <c r="AA14" s="1"/>
  <c r="AB21" l="1"/>
  <c r="G5" i="2"/>
  <c r="D25"/>
  <c r="AB14" i="1"/>
  <c r="G4" i="2"/>
  <c r="D7"/>
  <c r="E17" i="1"/>
  <c r="Y16" l="1"/>
  <c r="Y22"/>
  <c r="E18"/>
  <c r="E7"/>
  <c r="E6"/>
  <c r="E12"/>
  <c r="Y25"/>
  <c r="E25"/>
  <c r="U25"/>
  <c r="Y26"/>
  <c r="Y10" l="1"/>
  <c r="I12" l="1"/>
  <c r="E19"/>
  <c r="I15"/>
  <c r="Q15"/>
  <c r="Q6"/>
  <c r="I23"/>
  <c r="I20"/>
  <c r="AA15" l="1"/>
  <c r="AB15" l="1"/>
  <c r="G25" i="2"/>
  <c r="G7"/>
  <c r="D5"/>
  <c r="U10" i="1"/>
  <c r="Q18"/>
  <c r="Q23"/>
  <c r="M18"/>
  <c r="Y23"/>
  <c r="E27"/>
  <c r="U22"/>
  <c r="Y17"/>
  <c r="AA17" s="1"/>
  <c r="Y12"/>
  <c r="AA12" s="1"/>
  <c r="Q22"/>
  <c r="I11"/>
  <c r="E22"/>
  <c r="M10"/>
  <c r="M11"/>
  <c r="Y19"/>
  <c r="Q10"/>
  <c r="M24"/>
  <c r="I27"/>
  <c r="E26"/>
  <c r="M26"/>
  <c r="I24"/>
  <c r="Q9"/>
  <c r="I16"/>
  <c r="U19"/>
  <c r="I25"/>
  <c r="AA25" s="1"/>
  <c r="E20"/>
  <c r="I22"/>
  <c r="Y27"/>
  <c r="U24"/>
  <c r="U9"/>
  <c r="E23"/>
  <c r="AA23" s="1"/>
  <c r="Y8"/>
  <c r="E16"/>
  <c r="AA16" s="1"/>
  <c r="I26"/>
  <c r="E11"/>
  <c r="Y5"/>
  <c r="U8"/>
  <c r="E5"/>
  <c r="U7"/>
  <c r="AA7" s="1"/>
  <c r="I19"/>
  <c r="AA19" s="1"/>
  <c r="U27"/>
  <c r="Y11"/>
  <c r="E13"/>
  <c r="E8"/>
  <c r="AB19" l="1"/>
  <c r="D24" i="2"/>
  <c r="AB17" i="1"/>
  <c r="G9" i="2"/>
  <c r="D16"/>
  <c r="I18" i="1"/>
  <c r="AA18" s="1"/>
  <c r="E24"/>
  <c r="AA24" s="1"/>
  <c r="I8"/>
  <c r="M6"/>
  <c r="AA6" s="1"/>
  <c r="E10"/>
  <c r="AA10" s="1"/>
  <c r="M5"/>
  <c r="U13"/>
  <c r="U5"/>
  <c r="Q11"/>
  <c r="Q5"/>
  <c r="M20"/>
  <c r="AA8"/>
  <c r="AA22"/>
  <c r="G12" i="2"/>
  <c r="AB16" i="1"/>
  <c r="D14" i="2"/>
  <c r="AB25" i="1"/>
  <c r="D10" i="2"/>
  <c r="D20"/>
  <c r="AB12" i="1"/>
  <c r="G11" i="2"/>
  <c r="AA20" i="1"/>
  <c r="AA9"/>
  <c r="AA27"/>
  <c r="AB7"/>
  <c r="D4" i="2"/>
  <c r="AB23" i="1"/>
  <c r="G20" i="2"/>
  <c r="D11"/>
  <c r="AA13" i="1"/>
  <c r="AA11"/>
  <c r="AA26"/>
  <c r="AA5" l="1"/>
  <c r="D18" i="2"/>
  <c r="AB5" i="1"/>
  <c r="G19" i="2"/>
  <c r="G17"/>
  <c r="AB13" i="1"/>
  <c r="D21" i="2"/>
  <c r="AB20" i="1"/>
  <c r="D6" i="2"/>
  <c r="G15"/>
  <c r="G13"/>
  <c r="D22"/>
  <c r="AB6" i="1"/>
  <c r="AB11"/>
  <c r="G18" i="2"/>
  <c r="D19"/>
  <c r="D13"/>
  <c r="AB9" i="1"/>
  <c r="G22" i="2"/>
  <c r="D9"/>
  <c r="AB8" i="1"/>
  <c r="G16" i="2"/>
  <c r="G14"/>
  <c r="D12"/>
  <c r="AB10" i="1"/>
  <c r="G21" i="2"/>
  <c r="AB18" i="1"/>
  <c r="D17" i="2"/>
  <c r="D26"/>
  <c r="G23"/>
  <c r="AB26" i="1"/>
  <c r="AB27"/>
  <c r="D8" i="2"/>
  <c r="D23"/>
  <c r="G26"/>
  <c r="AB22" i="1"/>
  <c r="AB24"/>
  <c r="G6" i="2"/>
  <c r="D15"/>
  <c r="AC19" i="1"/>
  <c r="A24" i="2" s="1"/>
  <c r="AC22" i="1" l="1"/>
  <c r="A23" i="2" s="1"/>
  <c r="AC25" i="1"/>
  <c r="A10" i="2" s="1"/>
  <c r="AC27" i="1"/>
  <c r="A8" i="2" s="1"/>
  <c r="AC17" i="1"/>
  <c r="A16" i="2" s="1"/>
  <c r="AC5" i="1"/>
  <c r="AC21"/>
  <c r="A25" i="2" s="1"/>
  <c r="AC14" i="1"/>
  <c r="A7" i="2" s="1"/>
  <c r="AC15" i="1"/>
  <c r="A5" i="2" s="1"/>
  <c r="AC16" i="1"/>
  <c r="A14" i="2" s="1"/>
  <c r="AC13" i="1"/>
  <c r="A21" i="2" s="1"/>
  <c r="AC12" i="1"/>
  <c r="A20" i="2" s="1"/>
  <c r="AC24" i="1"/>
  <c r="A15" i="2" s="1"/>
  <c r="AC18" i="1"/>
  <c r="A17" i="2" s="1"/>
  <c r="AC11" i="1"/>
  <c r="A19" i="2" s="1"/>
  <c r="AC20" i="1"/>
  <c r="A6" i="2" s="1"/>
  <c r="AC9" i="1"/>
  <c r="A13" i="2" s="1"/>
  <c r="AC7" i="1"/>
  <c r="A4" i="2" s="1"/>
  <c r="AC26" i="1"/>
  <c r="A26" i="2" s="1"/>
  <c r="AC23" i="1"/>
  <c r="A11" i="2" s="1"/>
  <c r="AC10" i="1"/>
  <c r="A12" i="2" s="1"/>
  <c r="AC8" i="1"/>
  <c r="A9" i="2" s="1"/>
  <c r="AC6" i="1"/>
  <c r="A22" i="2" s="1"/>
  <c r="AE32" i="1" l="1"/>
  <c r="AF33"/>
  <c r="AE34"/>
  <c r="A18" i="2"/>
  <c r="AF34" i="1"/>
  <c r="AE33"/>
  <c r="AG33" s="1"/>
  <c r="AF32"/>
  <c r="AG34" l="1"/>
  <c r="AG32"/>
</calcChain>
</file>

<file path=xl/sharedStrings.xml><?xml version="1.0" encoding="utf-8"?>
<sst xmlns="http://schemas.openxmlformats.org/spreadsheetml/2006/main" count="85" uniqueCount="53">
  <si>
    <t>Team</t>
  </si>
  <si>
    <t>R1</t>
  </si>
  <si>
    <t>VS</t>
  </si>
  <si>
    <t>IMP+</t>
  </si>
  <si>
    <t>IMP-</t>
  </si>
  <si>
    <t>VP</t>
  </si>
  <si>
    <t>Total VP</t>
  </si>
  <si>
    <t>Rank</t>
  </si>
  <si>
    <t>R2</t>
  </si>
  <si>
    <t>R3</t>
  </si>
  <si>
    <t>R4</t>
  </si>
  <si>
    <t>R5</t>
  </si>
  <si>
    <t>R6</t>
  </si>
  <si>
    <t>IMP Q</t>
  </si>
  <si>
    <t>Ref</t>
  </si>
  <si>
    <t>IMP Diff</t>
  </si>
  <si>
    <t>HKPUSU Bridge Club - Swiss Team 2012</t>
  </si>
  <si>
    <t>Ghost of Red</t>
  </si>
  <si>
    <t>3-3 Break</t>
  </si>
  <si>
    <t>Tommy</t>
  </si>
  <si>
    <t>Philip Tam</t>
  </si>
  <si>
    <t>Jack Wong, Sunny Lau</t>
  </si>
  <si>
    <t>Jack Wong, Gary Lam</t>
  </si>
  <si>
    <t>Tai Yau</t>
  </si>
  <si>
    <t>FH Chow</t>
  </si>
  <si>
    <t>WH Fok</t>
  </si>
  <si>
    <t>Fu Cheung</t>
  </si>
  <si>
    <t>Sunny Mo</t>
  </si>
  <si>
    <t>Ho Ping Wah</t>
  </si>
  <si>
    <t>PK Yip</t>
  </si>
  <si>
    <t>Gordon Wong</t>
  </si>
  <si>
    <t>Vinci Wan</t>
  </si>
  <si>
    <t>Law Ka Ho</t>
  </si>
  <si>
    <t>Bubble Ho</t>
  </si>
  <si>
    <t>Stanley Chow</t>
  </si>
  <si>
    <t>Anita Au</t>
  </si>
  <si>
    <t>Johnny Lai</t>
  </si>
  <si>
    <t>Sunny Lam, HL Chung</t>
  </si>
  <si>
    <t>Sunny Lam, Anthony Ho</t>
  </si>
  <si>
    <t>15, 21</t>
  </si>
  <si>
    <t>21, 23</t>
  </si>
  <si>
    <t>15, 23</t>
  </si>
  <si>
    <t>18, 23</t>
  </si>
  <si>
    <t>18, 20</t>
  </si>
  <si>
    <t>20, 23</t>
  </si>
  <si>
    <t>Kate Spade</t>
  </si>
  <si>
    <t>5, 20</t>
  </si>
  <si>
    <t>7, 20</t>
  </si>
  <si>
    <t>5, 7</t>
  </si>
  <si>
    <t>20, 21</t>
  </si>
  <si>
    <t>5, 21</t>
  </si>
  <si>
    <t>7, 21</t>
  </si>
  <si>
    <t>Rank0</t>
  </si>
</sst>
</file>

<file path=xl/styles.xml><?xml version="1.0" encoding="utf-8"?>
<styleSheet xmlns="http://schemas.openxmlformats.org/spreadsheetml/2006/main">
  <numFmts count="1">
    <numFmt numFmtId="164" formatCode="#,##0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zoomScale="110" zoomScaleNormal="110" workbookViewId="0">
      <selection activeCell="A7" sqref="A7"/>
    </sheetView>
  </sheetViews>
  <sheetFormatPr defaultRowHeight="15"/>
  <cols>
    <col min="2" max="2" width="7.7109375" customWidth="1"/>
    <col min="3" max="3" width="30.7109375" style="19" customWidth="1"/>
    <col min="4" max="4" width="6.5703125" style="1" customWidth="1"/>
    <col min="5" max="5" width="7.7109375" customWidth="1"/>
    <col min="6" max="6" width="30.7109375" style="19" customWidth="1"/>
    <col min="7" max="7" width="6.5703125" customWidth="1"/>
  </cols>
  <sheetData>
    <row r="1" spans="1:7" ht="21">
      <c r="A1" s="10" t="s">
        <v>16</v>
      </c>
    </row>
    <row r="2" spans="1:7" ht="15.75" thickBot="1"/>
    <row r="3" spans="1:7">
      <c r="A3" s="51" t="s">
        <v>7</v>
      </c>
      <c r="B3" s="16" t="s">
        <v>0</v>
      </c>
      <c r="C3" s="20"/>
      <c r="D3" s="37" t="s">
        <v>5</v>
      </c>
      <c r="E3" s="16" t="s">
        <v>0</v>
      </c>
      <c r="F3" s="20"/>
      <c r="G3" s="15" t="s">
        <v>5</v>
      </c>
    </row>
    <row r="4" spans="1:7">
      <c r="A4" s="1">
        <f>VLOOKUP(B4,Scoreboard!A$5:AC$27,29,0)</f>
        <v>3</v>
      </c>
      <c r="B4" s="17">
        <v>1</v>
      </c>
      <c r="C4" s="21" t="s">
        <v>37</v>
      </c>
      <c r="D4" s="38">
        <f>VLOOKUP(B4,Scoreboard!A:AA,27,0)</f>
        <v>101</v>
      </c>
      <c r="E4" s="17">
        <f>VLOOKUP(B4,Scoreboard!A:Z,22,0)</f>
        <v>4</v>
      </c>
      <c r="F4" s="21" t="str">
        <f t="shared" ref="F4:F26" si="0">IFERROR(VLOOKUP(E4,B:C,2,0),"Trio Table")</f>
        <v>3-3 Break</v>
      </c>
      <c r="G4" s="8">
        <f>IFERROR(VLOOKUP(E4,Scoreboard!A:AA,27,0),"N/A")</f>
        <v>81</v>
      </c>
    </row>
    <row r="5" spans="1:7">
      <c r="A5" s="1">
        <f>VLOOKUP(B5,Scoreboard!A$5:AC$27,29,0)</f>
        <v>11</v>
      </c>
      <c r="B5" s="17">
        <f>B4+1</f>
        <v>2</v>
      </c>
      <c r="C5" s="21" t="s">
        <v>21</v>
      </c>
      <c r="D5" s="38">
        <f>VLOOKUP(B5,Scoreboard!A:AA,27,0)</f>
        <v>77</v>
      </c>
      <c r="E5" s="17">
        <f>VLOOKUP(B5,Scoreboard!A:Z,22,0)</f>
        <v>22</v>
      </c>
      <c r="F5" s="21" t="str">
        <f t="shared" si="0"/>
        <v>Johnny Lai</v>
      </c>
      <c r="G5" s="8">
        <f>IFERROR(VLOOKUP(E5,Scoreboard!A:AA,27,0),"N/A")</f>
        <v>65</v>
      </c>
    </row>
    <row r="6" spans="1:7">
      <c r="A6" s="1">
        <f>VLOOKUP(B6,Scoreboard!A$5:AC$27,29,0)</f>
        <v>16</v>
      </c>
      <c r="B6" s="17">
        <f t="shared" ref="B6:B26" si="1">B5+1</f>
        <v>3</v>
      </c>
      <c r="C6" s="21" t="s">
        <v>17</v>
      </c>
      <c r="D6" s="38">
        <f>VLOOKUP(B6,Scoreboard!A:AA,27,0)</f>
        <v>66</v>
      </c>
      <c r="E6" s="17">
        <f>VLOOKUP(B6,Scoreboard!A:Z,22,0)</f>
        <v>12</v>
      </c>
      <c r="F6" s="21" t="str">
        <f t="shared" si="0"/>
        <v>Sunny Lam, Anthony Ho</v>
      </c>
      <c r="G6" s="8">
        <f>IFERROR(VLOOKUP(E6,Scoreboard!A:AA,27,0),"N/A")</f>
        <v>60</v>
      </c>
    </row>
    <row r="7" spans="1:7">
      <c r="A7" s="1">
        <f>VLOOKUP(B7,Scoreboard!A$5:AC$27,29,0)</f>
        <v>10</v>
      </c>
      <c r="B7" s="17">
        <f t="shared" si="1"/>
        <v>4</v>
      </c>
      <c r="C7" s="21" t="s">
        <v>18</v>
      </c>
      <c r="D7" s="38">
        <f>VLOOKUP(B7,Scoreboard!A:AA,27,0)</f>
        <v>81</v>
      </c>
      <c r="E7" s="17">
        <f>VLOOKUP(B7,Scoreboard!A:Z,22,0)</f>
        <v>2</v>
      </c>
      <c r="F7" s="21" t="str">
        <f t="shared" si="0"/>
        <v>Jack Wong, Sunny Lau</v>
      </c>
      <c r="G7" s="8">
        <f>IFERROR(VLOOKUP(E7,Scoreboard!A:AA,27,0),"N/A")</f>
        <v>77</v>
      </c>
    </row>
    <row r="8" spans="1:7">
      <c r="A8" s="1">
        <f>VLOOKUP(B8,Scoreboard!A$5:AC$27,29,0)</f>
        <v>23</v>
      </c>
      <c r="B8" s="17">
        <f t="shared" si="1"/>
        <v>5</v>
      </c>
      <c r="C8" s="21" t="s">
        <v>19</v>
      </c>
      <c r="D8" s="38">
        <f>VLOOKUP(B8,Scoreboard!A:AA,27,0)</f>
        <v>12</v>
      </c>
      <c r="E8" s="17" t="str">
        <f>VLOOKUP(B8,Scoreboard!A:Z,22,0)</f>
        <v>7, 21</v>
      </c>
      <c r="F8" s="21" t="str">
        <f t="shared" si="0"/>
        <v>Trio Table</v>
      </c>
      <c r="G8" s="8" t="str">
        <f>IFERROR(VLOOKUP(E8,Scoreboard!A:AA,27,0),"N/A")</f>
        <v>N/A</v>
      </c>
    </row>
    <row r="9" spans="1:7">
      <c r="A9" s="1">
        <f>VLOOKUP(B9,Scoreboard!A$5:AC$27,29,0)</f>
        <v>4</v>
      </c>
      <c r="B9" s="17">
        <f t="shared" si="1"/>
        <v>6</v>
      </c>
      <c r="C9" s="21" t="s">
        <v>20</v>
      </c>
      <c r="D9" s="38">
        <f>VLOOKUP(B9,Scoreboard!A:AA,27,0)</f>
        <v>100</v>
      </c>
      <c r="E9" s="17">
        <f>VLOOKUP(B9,Scoreboard!A:Z,22,0)</f>
        <v>13</v>
      </c>
      <c r="F9" s="21" t="str">
        <f t="shared" si="0"/>
        <v>Sunny Mo</v>
      </c>
      <c r="G9" s="8">
        <f>IFERROR(VLOOKUP(E9,Scoreboard!A:AA,27,0),"N/A")</f>
        <v>75</v>
      </c>
    </row>
    <row r="10" spans="1:7">
      <c r="A10" s="1">
        <f>VLOOKUP(B10,Scoreboard!A$5:AC$27,29,0)</f>
        <v>21</v>
      </c>
      <c r="B10" s="17">
        <f t="shared" si="1"/>
        <v>7</v>
      </c>
      <c r="C10" s="21" t="s">
        <v>22</v>
      </c>
      <c r="D10" s="38">
        <f>VLOOKUP(B10,Scoreboard!A:AA,27,0)</f>
        <v>52</v>
      </c>
      <c r="E10" s="17" t="str">
        <f>VLOOKUP(B10,Scoreboard!A:Z,22,0)</f>
        <v>5, 21</v>
      </c>
      <c r="F10" s="21" t="str">
        <f t="shared" si="0"/>
        <v>Trio Table</v>
      </c>
      <c r="G10" s="8" t="str">
        <f>IFERROR(VLOOKUP(E10,Scoreboard!A:AA,27,0),"N/A")</f>
        <v>N/A</v>
      </c>
    </row>
    <row r="11" spans="1:7">
      <c r="A11" s="1">
        <f>VLOOKUP(B11,Scoreboard!A$5:AC$27,29,0)</f>
        <v>19</v>
      </c>
      <c r="B11" s="17">
        <f t="shared" si="1"/>
        <v>8</v>
      </c>
      <c r="C11" s="21" t="s">
        <v>23</v>
      </c>
      <c r="D11" s="38">
        <f>VLOOKUP(B11,Scoreboard!A:AA,27,0)</f>
        <v>63</v>
      </c>
      <c r="E11" s="17">
        <f>VLOOKUP(B11,Scoreboard!A:Z,22,0)</f>
        <v>17</v>
      </c>
      <c r="F11" s="21" t="str">
        <f t="shared" si="0"/>
        <v>Vinci Wan</v>
      </c>
      <c r="G11" s="8">
        <f>IFERROR(VLOOKUP(E11,Scoreboard!A:AA,27,0),"N/A")</f>
        <v>88</v>
      </c>
    </row>
    <row r="12" spans="1:7">
      <c r="A12" s="1">
        <f>VLOOKUP(B12,Scoreboard!A$5:AC$27,29,0)</f>
        <v>6</v>
      </c>
      <c r="B12" s="17">
        <f t="shared" si="1"/>
        <v>9</v>
      </c>
      <c r="C12" s="21" t="s">
        <v>24</v>
      </c>
      <c r="D12" s="38">
        <f>VLOOKUP(B12,Scoreboard!A:AA,27,0)</f>
        <v>93</v>
      </c>
      <c r="E12" s="17">
        <f>VLOOKUP(B12,Scoreboard!A:Z,22,0)</f>
        <v>11</v>
      </c>
      <c r="F12" s="21" t="str">
        <f t="shared" si="0"/>
        <v>Fu Cheung</v>
      </c>
      <c r="G12" s="8">
        <f>IFERROR(VLOOKUP(E12,Scoreboard!A:AA,27,0),"N/A")</f>
        <v>76</v>
      </c>
    </row>
    <row r="13" spans="1:7">
      <c r="A13" s="1">
        <f>VLOOKUP(B13,Scoreboard!A$5:AC$27,29,0)</f>
        <v>5</v>
      </c>
      <c r="B13" s="17">
        <f t="shared" si="1"/>
        <v>10</v>
      </c>
      <c r="C13" s="21" t="s">
        <v>25</v>
      </c>
      <c r="D13" s="38">
        <f>VLOOKUP(B13,Scoreboard!A:AA,27,0)</f>
        <v>97</v>
      </c>
      <c r="E13" s="17">
        <f>VLOOKUP(B13,Scoreboard!A:Z,22,0)</f>
        <v>19</v>
      </c>
      <c r="F13" s="21" t="str">
        <f t="shared" si="0"/>
        <v>Bubble Ho</v>
      </c>
      <c r="G13" s="8">
        <f>IFERROR(VLOOKUP(E13,Scoreboard!A:AA,27,0),"N/A")</f>
        <v>103</v>
      </c>
    </row>
    <row r="14" spans="1:7">
      <c r="A14" s="1">
        <f>VLOOKUP(B14,Scoreboard!A$5:AC$27,29,0)</f>
        <v>12</v>
      </c>
      <c r="B14" s="17">
        <f t="shared" si="1"/>
        <v>11</v>
      </c>
      <c r="C14" s="21" t="s">
        <v>26</v>
      </c>
      <c r="D14" s="38">
        <f>VLOOKUP(B14,Scoreboard!A:AA,27,0)</f>
        <v>76</v>
      </c>
      <c r="E14" s="17">
        <f>VLOOKUP(B14,Scoreboard!A:Z,22,0)</f>
        <v>9</v>
      </c>
      <c r="F14" s="21" t="str">
        <f t="shared" si="0"/>
        <v>FH Chow</v>
      </c>
      <c r="G14" s="8">
        <f>IFERROR(VLOOKUP(E14,Scoreboard!A:AA,27,0),"N/A")</f>
        <v>93</v>
      </c>
    </row>
    <row r="15" spans="1:7">
      <c r="A15" s="1">
        <f>VLOOKUP(B15,Scoreboard!A$5:AC$27,29,0)</f>
        <v>20</v>
      </c>
      <c r="B15" s="17">
        <f t="shared" si="1"/>
        <v>12</v>
      </c>
      <c r="C15" s="21" t="s">
        <v>38</v>
      </c>
      <c r="D15" s="38">
        <f>VLOOKUP(B15,Scoreboard!A:AA,27,0)</f>
        <v>60</v>
      </c>
      <c r="E15" s="17">
        <f>VLOOKUP(B15,Scoreboard!A:Z,22,0)</f>
        <v>3</v>
      </c>
      <c r="F15" s="21" t="str">
        <f t="shared" si="0"/>
        <v>Ghost of Red</v>
      </c>
      <c r="G15" s="8">
        <f>IFERROR(VLOOKUP(E15,Scoreboard!A:AA,27,0),"N/A")</f>
        <v>66</v>
      </c>
    </row>
    <row r="16" spans="1:7">
      <c r="A16" s="1">
        <f>VLOOKUP(B16,Scoreboard!A$5:AC$27,29,0)</f>
        <v>13</v>
      </c>
      <c r="B16" s="17">
        <f t="shared" si="1"/>
        <v>13</v>
      </c>
      <c r="C16" s="21" t="s">
        <v>27</v>
      </c>
      <c r="D16" s="38">
        <f>VLOOKUP(B16,Scoreboard!A:AA,27,0)</f>
        <v>75</v>
      </c>
      <c r="E16" s="17">
        <f>VLOOKUP(B16,Scoreboard!A:Z,22,0)</f>
        <v>6</v>
      </c>
      <c r="F16" s="21" t="str">
        <f t="shared" si="0"/>
        <v>Philip Tam</v>
      </c>
      <c r="G16" s="8">
        <f>IFERROR(VLOOKUP(E16,Scoreboard!A:AA,27,0),"N/A")</f>
        <v>100</v>
      </c>
    </row>
    <row r="17" spans="1:7">
      <c r="A17" s="1">
        <f>VLOOKUP(B17,Scoreboard!A$5:AC$27,29,0)</f>
        <v>14</v>
      </c>
      <c r="B17" s="17">
        <f t="shared" si="1"/>
        <v>14</v>
      </c>
      <c r="C17" s="21" t="s">
        <v>28</v>
      </c>
      <c r="D17" s="38">
        <f>VLOOKUP(B17,Scoreboard!A:AA,27,0)</f>
        <v>74</v>
      </c>
      <c r="E17" s="17">
        <f>VLOOKUP(B17,Scoreboard!A:Z,22,0)</f>
        <v>18</v>
      </c>
      <c r="F17" s="21" t="str">
        <f t="shared" si="0"/>
        <v>Law Ka Ho</v>
      </c>
      <c r="G17" s="8">
        <f>IFERROR(VLOOKUP(E17,Scoreboard!A:AA,27,0),"N/A")</f>
        <v>88</v>
      </c>
    </row>
    <row r="18" spans="1:7">
      <c r="A18" s="1">
        <f>VLOOKUP(B18,Scoreboard!A$5:AC$27,29,0)</f>
        <v>1</v>
      </c>
      <c r="B18" s="17">
        <f t="shared" si="1"/>
        <v>15</v>
      </c>
      <c r="C18" s="21" t="s">
        <v>29</v>
      </c>
      <c r="D18" s="38">
        <f>VLOOKUP(B18,Scoreboard!A:AA,27,0)</f>
        <v>139</v>
      </c>
      <c r="E18" s="17">
        <f>VLOOKUP(B18,Scoreboard!A:Z,22,0)</f>
        <v>16</v>
      </c>
      <c r="F18" s="21" t="str">
        <f t="shared" si="0"/>
        <v>Gordon Wong</v>
      </c>
      <c r="G18" s="8">
        <f>IFERROR(VLOOKUP(E18,Scoreboard!A:AA,27,0),"N/A")</f>
        <v>89</v>
      </c>
    </row>
    <row r="19" spans="1:7">
      <c r="A19" s="1">
        <f>VLOOKUP(B19,Scoreboard!A$5:AC$27,29,0)</f>
        <v>7</v>
      </c>
      <c r="B19" s="17">
        <f t="shared" si="1"/>
        <v>16</v>
      </c>
      <c r="C19" s="21" t="s">
        <v>30</v>
      </c>
      <c r="D19" s="38">
        <f>VLOOKUP(B19,Scoreboard!A:AA,27,0)</f>
        <v>89</v>
      </c>
      <c r="E19" s="17">
        <f>VLOOKUP(B19,Scoreboard!A:Z,22,0)</f>
        <v>15</v>
      </c>
      <c r="F19" s="21" t="str">
        <f t="shared" si="0"/>
        <v>PK Yip</v>
      </c>
      <c r="G19" s="8">
        <f>IFERROR(VLOOKUP(E19,Scoreboard!A:AA,27,0),"N/A")</f>
        <v>139</v>
      </c>
    </row>
    <row r="20" spans="1:7">
      <c r="A20" s="1">
        <f>VLOOKUP(B20,Scoreboard!A$5:AC$27,29,0)</f>
        <v>8</v>
      </c>
      <c r="B20" s="17">
        <f t="shared" si="1"/>
        <v>17</v>
      </c>
      <c r="C20" s="21" t="s">
        <v>31</v>
      </c>
      <c r="D20" s="38">
        <f>VLOOKUP(B20,Scoreboard!A:AA,27,0)</f>
        <v>88</v>
      </c>
      <c r="E20" s="17">
        <f>VLOOKUP(B20,Scoreboard!A:Z,22,0)</f>
        <v>8</v>
      </c>
      <c r="F20" s="21" t="str">
        <f t="shared" si="0"/>
        <v>Tai Yau</v>
      </c>
      <c r="G20" s="8">
        <f>IFERROR(VLOOKUP(E20,Scoreboard!A:AA,27,0),"N/A")</f>
        <v>63</v>
      </c>
    </row>
    <row r="21" spans="1:7">
      <c r="A21" s="1">
        <f>VLOOKUP(B21,Scoreboard!A$5:AC$27,29,0)</f>
        <v>9</v>
      </c>
      <c r="B21" s="17">
        <f t="shared" si="1"/>
        <v>18</v>
      </c>
      <c r="C21" s="21" t="s">
        <v>32</v>
      </c>
      <c r="D21" s="38">
        <f>VLOOKUP(B21,Scoreboard!A:AA,27,0)</f>
        <v>88</v>
      </c>
      <c r="E21" s="17">
        <f>VLOOKUP(B21,Scoreboard!A:Z,22,0)</f>
        <v>14</v>
      </c>
      <c r="F21" s="21" t="str">
        <f t="shared" si="0"/>
        <v>Ho Ping Wah</v>
      </c>
      <c r="G21" s="8">
        <f>IFERROR(VLOOKUP(E21,Scoreboard!A:AA,27,0),"N/A")</f>
        <v>74</v>
      </c>
    </row>
    <row r="22" spans="1:7">
      <c r="A22" s="1">
        <f>VLOOKUP(B22,Scoreboard!A$5:AC$27,29,0)</f>
        <v>2</v>
      </c>
      <c r="B22" s="17">
        <f t="shared" si="1"/>
        <v>19</v>
      </c>
      <c r="C22" s="21" t="s">
        <v>33</v>
      </c>
      <c r="D22" s="38">
        <f>VLOOKUP(B22,Scoreboard!A:AA,27,0)</f>
        <v>103</v>
      </c>
      <c r="E22" s="17">
        <f>VLOOKUP(B22,Scoreboard!A:Z,22,0)</f>
        <v>10</v>
      </c>
      <c r="F22" s="21" t="str">
        <f t="shared" si="0"/>
        <v>WH Fok</v>
      </c>
      <c r="G22" s="8">
        <f>IFERROR(VLOOKUP(E22,Scoreboard!A:AA,27,0),"N/A")</f>
        <v>97</v>
      </c>
    </row>
    <row r="23" spans="1:7">
      <c r="A23" s="1">
        <f>VLOOKUP(B23,Scoreboard!A$5:AC$27,29,0)</f>
        <v>18</v>
      </c>
      <c r="B23" s="17">
        <f t="shared" si="1"/>
        <v>20</v>
      </c>
      <c r="C23" s="21" t="s">
        <v>34</v>
      </c>
      <c r="D23" s="38">
        <f>VLOOKUP(B23,Scoreboard!A:AA,27,0)</f>
        <v>65</v>
      </c>
      <c r="E23" s="17">
        <f>VLOOKUP(B23,Scoreboard!A:Z,22,0)</f>
        <v>23</v>
      </c>
      <c r="F23" s="21" t="str">
        <f t="shared" si="0"/>
        <v>Kate Spade</v>
      </c>
      <c r="G23" s="8">
        <f>IFERROR(VLOOKUP(E23,Scoreboard!A:AA,27,0),"N/A")</f>
        <v>49</v>
      </c>
    </row>
    <row r="24" spans="1:7">
      <c r="A24" s="1">
        <f>VLOOKUP(B24,Scoreboard!A$5:AC$27,29,0)</f>
        <v>15</v>
      </c>
      <c r="B24" s="17">
        <f t="shared" si="1"/>
        <v>21</v>
      </c>
      <c r="C24" s="21" t="s">
        <v>35</v>
      </c>
      <c r="D24" s="38">
        <f>VLOOKUP(B24,Scoreboard!A:AA,27,0)</f>
        <v>67</v>
      </c>
      <c r="E24" s="17" t="str">
        <f>VLOOKUP(B24,Scoreboard!A:Z,22,0)</f>
        <v>5, 7</v>
      </c>
      <c r="F24" s="21" t="str">
        <f t="shared" si="0"/>
        <v>Trio Table</v>
      </c>
      <c r="G24" s="8" t="str">
        <f>IFERROR(VLOOKUP(E24,Scoreboard!A:AA,27,0),"N/A")</f>
        <v>N/A</v>
      </c>
    </row>
    <row r="25" spans="1:7">
      <c r="A25" s="1">
        <f>VLOOKUP(B25,Scoreboard!A$5:AC$27,29,0)</f>
        <v>17</v>
      </c>
      <c r="B25" s="17">
        <f t="shared" si="1"/>
        <v>22</v>
      </c>
      <c r="C25" s="21" t="s">
        <v>36</v>
      </c>
      <c r="D25" s="38">
        <f>VLOOKUP(B25,Scoreboard!A:AA,27,0)</f>
        <v>65</v>
      </c>
      <c r="E25" s="17">
        <f>VLOOKUP(B25,Scoreboard!A:Z,22,0)</f>
        <v>2</v>
      </c>
      <c r="F25" s="21" t="str">
        <f t="shared" si="0"/>
        <v>Jack Wong, Sunny Lau</v>
      </c>
      <c r="G25" s="8">
        <f>IFERROR(VLOOKUP(E25,Scoreboard!A:AA,27,0),"N/A")</f>
        <v>77</v>
      </c>
    </row>
    <row r="26" spans="1:7" ht="15.75" thickBot="1">
      <c r="A26" s="1">
        <f>VLOOKUP(B26,Scoreboard!A$5:AC$27,29,0)</f>
        <v>22</v>
      </c>
      <c r="B26" s="18">
        <f t="shared" si="1"/>
        <v>23</v>
      </c>
      <c r="C26" s="22" t="s">
        <v>45</v>
      </c>
      <c r="D26" s="39">
        <f>VLOOKUP(B26,Scoreboard!A:AA,27,0)</f>
        <v>49</v>
      </c>
      <c r="E26" s="18">
        <f>VLOOKUP(B26,Scoreboard!A:Z,22,0)</f>
        <v>20</v>
      </c>
      <c r="F26" s="22" t="str">
        <f t="shared" si="0"/>
        <v>Stanley Chow</v>
      </c>
      <c r="G26" s="9">
        <f>IFERROR(VLOOKUP(E26,Scoreboard!A:AA,27,0),"N/A")</f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34"/>
  <sheetViews>
    <sheetView tabSelected="1" topLeftCell="M1" workbookViewId="0">
      <selection activeCell="AI10" sqref="AI10"/>
    </sheetView>
  </sheetViews>
  <sheetFormatPr defaultRowHeight="15"/>
  <cols>
    <col min="2" max="25" width="9.140625" customWidth="1"/>
    <col min="26" max="26" width="10.140625" bestFit="1" customWidth="1"/>
    <col min="28" max="28" width="9.140625" hidden="1" customWidth="1"/>
    <col min="30" max="34" width="9.140625" hidden="1" customWidth="1"/>
    <col min="35" max="35" width="22.28515625" bestFit="1" customWidth="1"/>
  </cols>
  <sheetData>
    <row r="1" spans="1:35" ht="21">
      <c r="A1" s="10" t="s">
        <v>16</v>
      </c>
    </row>
    <row r="2" spans="1:35" ht="15.75" thickBot="1"/>
    <row r="3" spans="1:35">
      <c r="A3" s="57" t="s">
        <v>0</v>
      </c>
      <c r="B3" s="56" t="s">
        <v>1</v>
      </c>
      <c r="C3" s="54"/>
      <c r="D3" s="54"/>
      <c r="E3" s="55"/>
      <c r="F3" s="56" t="s">
        <v>8</v>
      </c>
      <c r="G3" s="54"/>
      <c r="H3" s="54"/>
      <c r="I3" s="55"/>
      <c r="J3" s="56" t="s">
        <v>9</v>
      </c>
      <c r="K3" s="54"/>
      <c r="L3" s="54"/>
      <c r="M3" s="55"/>
      <c r="N3" s="63" t="s">
        <v>10</v>
      </c>
      <c r="O3" s="64"/>
      <c r="P3" s="64"/>
      <c r="Q3" s="65"/>
      <c r="R3" s="56" t="s">
        <v>11</v>
      </c>
      <c r="S3" s="54"/>
      <c r="T3" s="54"/>
      <c r="U3" s="55"/>
      <c r="V3" s="56" t="s">
        <v>12</v>
      </c>
      <c r="W3" s="54"/>
      <c r="X3" s="54"/>
      <c r="Y3" s="55"/>
      <c r="Z3" s="59" t="s">
        <v>13</v>
      </c>
      <c r="AA3" s="57" t="s">
        <v>6</v>
      </c>
      <c r="AB3" s="61" t="s">
        <v>14</v>
      </c>
      <c r="AC3" s="57" t="s">
        <v>52</v>
      </c>
      <c r="AE3" s="11" t="s">
        <v>15</v>
      </c>
      <c r="AF3" s="54" t="s">
        <v>5</v>
      </c>
      <c r="AG3" s="55"/>
    </row>
    <row r="4" spans="1:35">
      <c r="A4" s="58"/>
      <c r="B4" s="12" t="s">
        <v>2</v>
      </c>
      <c r="C4" s="13" t="s">
        <v>3</v>
      </c>
      <c r="D4" s="13" t="s">
        <v>4</v>
      </c>
      <c r="E4" s="14" t="s">
        <v>5</v>
      </c>
      <c r="F4" s="12" t="s">
        <v>2</v>
      </c>
      <c r="G4" s="13" t="s">
        <v>3</v>
      </c>
      <c r="H4" s="13" t="s">
        <v>4</v>
      </c>
      <c r="I4" s="14" t="s">
        <v>5</v>
      </c>
      <c r="J4" s="12" t="s">
        <v>2</v>
      </c>
      <c r="K4" s="13" t="s">
        <v>3</v>
      </c>
      <c r="L4" s="13" t="s">
        <v>4</v>
      </c>
      <c r="M4" s="14" t="s">
        <v>5</v>
      </c>
      <c r="N4" s="43" t="s">
        <v>2</v>
      </c>
      <c r="O4" s="44" t="s">
        <v>3</v>
      </c>
      <c r="P4" s="44" t="s">
        <v>4</v>
      </c>
      <c r="Q4" s="45" t="s">
        <v>5</v>
      </c>
      <c r="R4" s="12" t="s">
        <v>2</v>
      </c>
      <c r="S4" s="13" t="s">
        <v>3</v>
      </c>
      <c r="T4" s="13" t="s">
        <v>4</v>
      </c>
      <c r="U4" s="14" t="s">
        <v>5</v>
      </c>
      <c r="V4" s="12" t="s">
        <v>2</v>
      </c>
      <c r="W4" s="13" t="s">
        <v>3</v>
      </c>
      <c r="X4" s="13" t="s">
        <v>4</v>
      </c>
      <c r="Y4" s="14" t="s">
        <v>5</v>
      </c>
      <c r="Z4" s="60"/>
      <c r="AA4" s="58"/>
      <c r="AB4" s="62"/>
      <c r="AC4" s="58"/>
      <c r="AE4" s="3">
        <v>0</v>
      </c>
      <c r="AF4" s="2">
        <v>13</v>
      </c>
      <c r="AG4" s="4">
        <f t="shared" ref="AG4:AG27" si="0">26-AF4</f>
        <v>13</v>
      </c>
    </row>
    <row r="5" spans="1:35">
      <c r="A5" s="52">
        <v>15</v>
      </c>
      <c r="B5" s="24" t="s">
        <v>40</v>
      </c>
      <c r="C5" s="25">
        <v>54</v>
      </c>
      <c r="D5" s="25">
        <v>8</v>
      </c>
      <c r="E5" s="26">
        <f t="shared" ref="E5:E27" si="1">IF(ISBLANK(C5),0,IF(C5&gt;D5,IFERROR(VLOOKUP(C5-D5,$AE$3:$AG$30,2,0),26),IFERROR(VLOOKUP(D5-C5,$AE$3:$AG$30,3,0),0)))</f>
        <v>26</v>
      </c>
      <c r="F5" s="3">
        <v>9</v>
      </c>
      <c r="G5" s="2">
        <v>11</v>
      </c>
      <c r="H5" s="2">
        <f>IFERROR(VLOOKUP(F5,$A$3:G$27,7,0),0)</f>
        <v>12</v>
      </c>
      <c r="I5" s="4">
        <f t="shared" ref="I5:I27" si="2">IF(ISBLANK(G5),0,IF(G5&gt;H5,IFERROR(VLOOKUP(G5-H5,$AE$3:$AG$30,2,0),26),IFERROR(VLOOKUP(H5-G5,$AE$3:$AG$30,3,0),0)))</f>
        <v>12</v>
      </c>
      <c r="J5" s="3">
        <v>3</v>
      </c>
      <c r="K5" s="2">
        <v>35</v>
      </c>
      <c r="L5" s="2">
        <f t="shared" ref="L5:L17" si="3">IFERROR(VLOOKUP(J5,$A$3:$K$27,11,0),0)</f>
        <v>10</v>
      </c>
      <c r="M5" s="4">
        <f t="shared" ref="M5:M27" si="4">IF(ISBLANK(K5),0,IF(K5&gt;L5,IFERROR(VLOOKUP(K5-L5,$AE$3:$AG$30,2,0),26),IFERROR(VLOOKUP(L5-K5,$AE$3:$AG$30,3,0),0)))</f>
        <v>25</v>
      </c>
      <c r="N5" s="33">
        <v>8</v>
      </c>
      <c r="O5" s="34">
        <v>43</v>
      </c>
      <c r="P5" s="34">
        <f t="shared" ref="P5:P17" si="5">IFERROR(VLOOKUP(N5,$A$3:$O$27,15,0),0)</f>
        <v>0</v>
      </c>
      <c r="Q5" s="35">
        <f t="shared" ref="Q5:Q27" si="6">IF(ISBLANK(O5),0,IF(O5&gt;P5,IFERROR(VLOOKUP(O5-P5,$AE$3:$AG$30,2,0),26),IFERROR(VLOOKUP(P5-O5,$AE$3:$AG$30,3,0),0)))</f>
        <v>26</v>
      </c>
      <c r="R5" s="3">
        <v>1</v>
      </c>
      <c r="S5" s="2">
        <v>26</v>
      </c>
      <c r="T5" s="2">
        <f t="shared" ref="T5:T22" si="7">IFERROR(VLOOKUP(R5,$A$3:$S$27,19,0),0)</f>
        <v>6</v>
      </c>
      <c r="U5" s="4">
        <f t="shared" ref="U5:U27" si="8">IF(ISBLANK(S5),0,IF(S5&gt;T5,IFERROR(VLOOKUP(S5-T5,$AE$3:$AG$30,2,0),26),IFERROR(VLOOKUP(T5-S5,$AE$3:$AG$30,3,0),0)))</f>
        <v>24</v>
      </c>
      <c r="V5" s="3">
        <v>16</v>
      </c>
      <c r="W5" s="2">
        <v>38</v>
      </c>
      <c r="X5" s="2">
        <f>IFERROR(VLOOKUP(V5,$A$3:W$27,23,0),0)</f>
        <v>3</v>
      </c>
      <c r="Y5" s="4">
        <f t="shared" ref="Y5:Y27" si="9">IF(ISBLANK(W5),0,IF(W5&gt;X5,IFERROR(VLOOKUP(W5-X5,$AE$3:$AG$30,2,0),26),IFERROR(VLOOKUP(X5-W5,$AE$3:$AG$30,3,0),0)))</f>
        <v>26</v>
      </c>
      <c r="Z5" s="27">
        <f t="shared" ref="Z5:Z27" si="10">IFERROR(SUM(C5,G5,K5,O5,S5,W5)/SUM(D5,H5,L5,P5,T5,X5),10000)</f>
        <v>5.3076923076923075</v>
      </c>
      <c r="AA5" s="52">
        <f t="shared" ref="AA5:AA27" si="11">SUM(E5,I5,M5,Q5,U5,Y5)</f>
        <v>139</v>
      </c>
      <c r="AB5" s="52">
        <f t="shared" ref="AB5:AB27" si="12">AA5+Z5/100000</f>
        <v>139.00005307692308</v>
      </c>
      <c r="AC5" s="52">
        <f t="shared" ref="AC5:AC27" si="13">RANK(AB5,AB:AB)</f>
        <v>1</v>
      </c>
      <c r="AD5" s="53"/>
      <c r="AE5" s="40">
        <v>1</v>
      </c>
      <c r="AF5" s="41">
        <f>AF4+1</f>
        <v>14</v>
      </c>
      <c r="AG5" s="42">
        <f>26-AF5</f>
        <v>12</v>
      </c>
      <c r="AH5" s="53">
        <f t="shared" ref="AH5:AH27" si="14">A5</f>
        <v>15</v>
      </c>
      <c r="AI5" s="53" t="str">
        <f>VLOOKUP(AH5,Team!B:C,2,0)</f>
        <v>PK Yip</v>
      </c>
    </row>
    <row r="6" spans="1:35">
      <c r="A6" s="52">
        <v>19</v>
      </c>
      <c r="B6" s="3">
        <v>14</v>
      </c>
      <c r="C6" s="2">
        <v>15</v>
      </c>
      <c r="D6" s="2">
        <f>IFERROR(VLOOKUP(B6,$A$3:$C$27,3,0),0)</f>
        <v>1</v>
      </c>
      <c r="E6" s="4">
        <f>IF(ISBLANK(C6),0,IF(C6&gt;D6,IFERROR(VLOOKUP(C6-D6,$AE$3:$AG$30,2,0),26),IFERROR(VLOOKUP(D6-C6,$AE$3:$AG$30,3,0),0)))</f>
        <v>22</v>
      </c>
      <c r="F6" s="3">
        <v>1</v>
      </c>
      <c r="G6" s="2">
        <v>6</v>
      </c>
      <c r="H6" s="2">
        <f>IFERROR(VLOOKUP(F6,$A$3:G$27,7,0),0)</f>
        <v>18</v>
      </c>
      <c r="I6" s="4">
        <f>IF(ISBLANK(G6),0,IF(G6&gt;H6,IFERROR(VLOOKUP(G6-H6,$AE$3:$AG$30,2,0),26),IFERROR(VLOOKUP(H6-G6,$AE$3:$AG$30,3,0),0)))</f>
        <v>5</v>
      </c>
      <c r="J6" s="3">
        <v>23</v>
      </c>
      <c r="K6" s="2">
        <v>36</v>
      </c>
      <c r="L6" s="2">
        <f>IFERROR(VLOOKUP(J6,$A$3:$K$27,11,0),0)</f>
        <v>12</v>
      </c>
      <c r="M6" s="4">
        <f>IF(ISBLANK(K6),0,IF(K6&gt;L6,IFERROR(VLOOKUP(K6-L6,$AE$3:$AG$30,2,0),26),IFERROR(VLOOKUP(L6-K6,$AE$3:$AG$30,3,0),0)))</f>
        <v>25</v>
      </c>
      <c r="N6" s="33">
        <v>2</v>
      </c>
      <c r="O6" s="34">
        <v>29</v>
      </c>
      <c r="P6" s="34">
        <f>IFERROR(VLOOKUP(N6,$A$3:$O$27,15,0),0)</f>
        <v>12</v>
      </c>
      <c r="Q6" s="35">
        <f>IF(ISBLANK(O6),0,IF(O6&gt;P6,IFERROR(VLOOKUP(O6-P6,$AE$3:$AG$30,2,0),26),IFERROR(VLOOKUP(P6-O6,$AE$3:$AG$30,3,0),0)))</f>
        <v>23</v>
      </c>
      <c r="R6" s="3">
        <v>16</v>
      </c>
      <c r="S6" s="2">
        <v>15</v>
      </c>
      <c r="T6" s="2">
        <f>IFERROR(VLOOKUP(R6,$A$3:$S$27,19,0),0)</f>
        <v>16</v>
      </c>
      <c r="U6" s="4">
        <f>IF(ISBLANK(S6),0,IF(S6&gt;T6,IFERROR(VLOOKUP(S6-T6,$AE$3:$AG$30,2,0),26),IFERROR(VLOOKUP(T6-S6,$AE$3:$AG$30,3,0),0)))</f>
        <v>12</v>
      </c>
      <c r="V6" s="3">
        <v>10</v>
      </c>
      <c r="W6" s="2">
        <v>19</v>
      </c>
      <c r="X6" s="2">
        <f>IFERROR(VLOOKUP(V6,$A$3:W$27,23,0),0)</f>
        <v>16</v>
      </c>
      <c r="Y6" s="4">
        <f>IF(ISBLANK(W6),0,IF(W6&gt;X6,IFERROR(VLOOKUP(W6-X6,$AE$3:$AG$30,2,0),26),IFERROR(VLOOKUP(X6-W6,$AE$3:$AG$30,3,0),0)))</f>
        <v>16</v>
      </c>
      <c r="Z6" s="27">
        <f>IFERROR(SUM(C6,G6,K6,O6,S6,W6)/SUM(D6,H6,L6,P6,T6,X6),10000)</f>
        <v>1.6</v>
      </c>
      <c r="AA6" s="52">
        <f>SUM(E6,I6,M6,Q6,U6,Y6)</f>
        <v>103</v>
      </c>
      <c r="AB6" s="52">
        <f>AA6+Z6/100000</f>
        <v>103.000016</v>
      </c>
      <c r="AC6" s="52">
        <f>RANK(AB6,AB:AB)</f>
        <v>2</v>
      </c>
      <c r="AD6" s="53"/>
      <c r="AE6" s="40">
        <v>2</v>
      </c>
      <c r="AF6" s="41">
        <v>15</v>
      </c>
      <c r="AG6" s="42">
        <f>26-AF6</f>
        <v>11</v>
      </c>
      <c r="AH6" s="53">
        <f t="shared" si="14"/>
        <v>19</v>
      </c>
      <c r="AI6" s="53" t="str">
        <f>VLOOKUP(AH6,Team!B:C,2,0)</f>
        <v>Bubble Ho</v>
      </c>
    </row>
    <row r="7" spans="1:35">
      <c r="A7" s="52">
        <v>1</v>
      </c>
      <c r="B7" s="3">
        <v>7</v>
      </c>
      <c r="C7" s="2">
        <v>27</v>
      </c>
      <c r="D7" s="2">
        <f>IFERROR(VLOOKUP(B7,$A$3:$C$27,3,0),0)</f>
        <v>12</v>
      </c>
      <c r="E7" s="4">
        <f>IF(ISBLANK(C7),0,IF(C7&gt;D7,IFERROR(VLOOKUP(C7-D7,$AE$3:$AG$30,2,0),26),IFERROR(VLOOKUP(D7-C7,$AE$3:$AG$30,3,0),0)))</f>
        <v>22</v>
      </c>
      <c r="F7" s="3">
        <v>19</v>
      </c>
      <c r="G7" s="2">
        <v>18</v>
      </c>
      <c r="H7" s="2">
        <f>IFERROR(VLOOKUP(F7,$A$3:G$27,7,0),0)</f>
        <v>6</v>
      </c>
      <c r="I7" s="4">
        <f>IF(ISBLANK(G7),0,IF(G7&gt;H7,IFERROR(VLOOKUP(G7-H7,$AE$3:$AG$30,2,0),26),IFERROR(VLOOKUP(H7-G7,$AE$3:$AG$30,3,0),0)))</f>
        <v>21</v>
      </c>
      <c r="J7" s="3">
        <v>13</v>
      </c>
      <c r="K7" s="2">
        <v>31</v>
      </c>
      <c r="L7" s="2">
        <f>IFERROR(VLOOKUP(J7,$A$3:$K$27,11,0),0)</f>
        <v>20</v>
      </c>
      <c r="M7" s="4">
        <f>IF(ISBLANK(K7),0,IF(K7&gt;L7,IFERROR(VLOOKUP(K7-L7,$AE$3:$AG$30,2,0),26),IFERROR(VLOOKUP(L7-K7,$AE$3:$AG$30,3,0),0)))</f>
        <v>21</v>
      </c>
      <c r="N7" s="33">
        <v>6</v>
      </c>
      <c r="O7" s="34">
        <v>16</v>
      </c>
      <c r="P7" s="34">
        <f>IFERROR(VLOOKUP(N7,$A$3:$O$27,15,0),0)</f>
        <v>7</v>
      </c>
      <c r="Q7" s="35">
        <f>IF(ISBLANK(O7),0,IF(O7&gt;P7,IFERROR(VLOOKUP(O7-P7,$AE$3:$AG$30,2,0),26),IFERROR(VLOOKUP(P7-O7,$AE$3:$AG$30,3,0),0)))</f>
        <v>20</v>
      </c>
      <c r="R7" s="3">
        <v>15</v>
      </c>
      <c r="S7" s="2">
        <v>6</v>
      </c>
      <c r="T7" s="2">
        <f>IFERROR(VLOOKUP(R7,$A$3:$S$27,19,0),0)</f>
        <v>26</v>
      </c>
      <c r="U7" s="4">
        <f>IF(ISBLANK(S7),0,IF(S7&gt;T7,IFERROR(VLOOKUP(S7-T7,$AE$3:$AG$30,2,0),26),IFERROR(VLOOKUP(T7-S7,$AE$3:$AG$30,3,0),0)))</f>
        <v>2</v>
      </c>
      <c r="V7" s="3">
        <v>4</v>
      </c>
      <c r="W7" s="2">
        <v>14</v>
      </c>
      <c r="X7" s="2">
        <f>IFERROR(VLOOKUP(V7,$A$3:W$27,23,0),0)</f>
        <v>12</v>
      </c>
      <c r="Y7" s="4">
        <f>IF(ISBLANK(W7),0,IF(W7&gt;X7,IFERROR(VLOOKUP(W7-X7,$AE$3:$AG$30,2,0),26),IFERROR(VLOOKUP(X7-W7,$AE$3:$AG$30,3,0),0)))</f>
        <v>15</v>
      </c>
      <c r="Z7" s="27">
        <f>IFERROR(SUM(C7,G7,K7,O7,S7,W7)/SUM(D7,H7,L7,P7,T7,X7),10000)</f>
        <v>1.3493975903614457</v>
      </c>
      <c r="AA7" s="52">
        <f>SUM(E7,I7,M7,Q7,U7,Y7)</f>
        <v>101</v>
      </c>
      <c r="AB7" s="52">
        <f>AA7+Z7/100000</f>
        <v>101.0000134939759</v>
      </c>
      <c r="AC7" s="52">
        <f>RANK(AB7,AB:AB)</f>
        <v>3</v>
      </c>
      <c r="AD7" s="53"/>
      <c r="AE7" s="40">
        <v>3</v>
      </c>
      <c r="AF7" s="41">
        <v>16</v>
      </c>
      <c r="AG7" s="42">
        <f>26-AF7</f>
        <v>10</v>
      </c>
      <c r="AH7" s="53">
        <f t="shared" si="14"/>
        <v>1</v>
      </c>
      <c r="AI7" s="53" t="str">
        <f>VLOOKUP(AH7,Team!B:C,2,0)</f>
        <v>Sunny Lam, HL Chung</v>
      </c>
    </row>
    <row r="8" spans="1:35">
      <c r="A8" s="8">
        <v>6</v>
      </c>
      <c r="B8" s="3">
        <v>11</v>
      </c>
      <c r="C8" s="2">
        <v>27</v>
      </c>
      <c r="D8" s="2">
        <f>IFERROR(VLOOKUP(B8,$A$3:$C$27,3,0),0)</f>
        <v>2</v>
      </c>
      <c r="E8" s="4">
        <f>IF(ISBLANK(C8),0,IF(C8&gt;D8,IFERROR(VLOOKUP(C8-D8,$AE$3:$AG$30,2,0),26),IFERROR(VLOOKUP(D8-C8,$AE$3:$AG$30,3,0),0)))</f>
        <v>25</v>
      </c>
      <c r="F8" s="3">
        <v>16</v>
      </c>
      <c r="G8" s="2">
        <v>31</v>
      </c>
      <c r="H8" s="2">
        <f>IFERROR(VLOOKUP(F8,$A$3:G$27,7,0),0)</f>
        <v>4</v>
      </c>
      <c r="I8" s="4">
        <f>IF(ISBLANK(G8),0,IF(G8&gt;H8,IFERROR(VLOOKUP(G8-H8,$AE$3:$AG$30,2,0),26),IFERROR(VLOOKUP(H8-G8,$AE$3:$AG$30,3,0),0)))</f>
        <v>26</v>
      </c>
      <c r="J8" s="3">
        <v>8</v>
      </c>
      <c r="K8" s="2">
        <v>9</v>
      </c>
      <c r="L8" s="2">
        <f>IFERROR(VLOOKUP(J8,$A$3:$K$27,11,0),0)</f>
        <v>5</v>
      </c>
      <c r="M8" s="4">
        <f>IF(ISBLANK(K8),0,IF(K8&gt;L8,IFERROR(VLOOKUP(K8-L8,$AE$3:$AG$30,2,0),26),IFERROR(VLOOKUP(L8-K8,$AE$3:$AG$30,3,0),0)))</f>
        <v>17</v>
      </c>
      <c r="N8" s="33">
        <v>1</v>
      </c>
      <c r="O8" s="34">
        <v>7</v>
      </c>
      <c r="P8" s="34">
        <f>IFERROR(VLOOKUP(N8,$A$3:$O$27,15,0),0)</f>
        <v>16</v>
      </c>
      <c r="Q8" s="35">
        <f>IF(ISBLANK(O8),0,IF(O8&gt;P8,IFERROR(VLOOKUP(O8-P8,$AE$3:$AG$30,2,0),26),IFERROR(VLOOKUP(P8-O8,$AE$3:$AG$30,3,0),0)))</f>
        <v>6</v>
      </c>
      <c r="R8" s="3">
        <v>10</v>
      </c>
      <c r="S8" s="2">
        <v>5</v>
      </c>
      <c r="T8" s="2">
        <f>IFERROR(VLOOKUP(R8,$A$3:$S$27,19,0),0)</f>
        <v>35</v>
      </c>
      <c r="U8" s="4">
        <f>IF(ISBLANK(S8),0,IF(S8&gt;T8,IFERROR(VLOOKUP(S8-T8,$AE$3:$AG$30,2,0),26),IFERROR(VLOOKUP(T8-S8,$AE$3:$AG$30,3,0),0)))</f>
        <v>0</v>
      </c>
      <c r="V8" s="3">
        <v>13</v>
      </c>
      <c r="W8" s="2">
        <v>61</v>
      </c>
      <c r="X8" s="2">
        <f>IFERROR(VLOOKUP(V8,$A$3:W$27,23,0),0)</f>
        <v>7</v>
      </c>
      <c r="Y8" s="4">
        <f>IF(ISBLANK(W8),0,IF(W8&gt;X8,IFERROR(VLOOKUP(W8-X8,$AE$3:$AG$30,2,0),26),IFERROR(VLOOKUP(X8-W8,$AE$3:$AG$30,3,0),0)))</f>
        <v>26</v>
      </c>
      <c r="Z8" s="27">
        <f>IFERROR(SUM(C8,G8,K8,O8,S8,W8)/SUM(D8,H8,L8,P8,T8,X8),10000)</f>
        <v>2.0289855072463769</v>
      </c>
      <c r="AA8" s="8">
        <f>SUM(E8,I8,M8,Q8,U8,Y8)</f>
        <v>100</v>
      </c>
      <c r="AB8" s="8">
        <f>AA8+Z8/100000</f>
        <v>100.00002028985507</v>
      </c>
      <c r="AC8" s="8">
        <f>RANK(AB8,AB:AB)</f>
        <v>4</v>
      </c>
      <c r="AE8" s="3">
        <v>4</v>
      </c>
      <c r="AF8" s="2">
        <v>17</v>
      </c>
      <c r="AG8" s="4">
        <f>26-AF8</f>
        <v>9</v>
      </c>
      <c r="AH8">
        <f t="shared" si="14"/>
        <v>6</v>
      </c>
      <c r="AI8" t="str">
        <f>VLOOKUP(AH8,Team!B:C,2,0)</f>
        <v>Philip Tam</v>
      </c>
    </row>
    <row r="9" spans="1:35">
      <c r="A9" s="8">
        <v>10</v>
      </c>
      <c r="B9" s="3">
        <v>2</v>
      </c>
      <c r="C9" s="2">
        <v>20</v>
      </c>
      <c r="D9" s="2">
        <f>IFERROR(VLOOKUP(B9,$A$3:$C$27,3,0),0)</f>
        <v>10</v>
      </c>
      <c r="E9" s="4">
        <f>IF(ISBLANK(C9),0,IF(C9&gt;D9,IFERROR(VLOOKUP(C9-D9,$AE$3:$AG$30,2,0),26),IFERROR(VLOOKUP(D9-C9,$AE$3:$AG$30,3,0),0)))</f>
        <v>20</v>
      </c>
      <c r="F9" s="3">
        <v>22</v>
      </c>
      <c r="G9" s="2">
        <v>3</v>
      </c>
      <c r="H9" s="2">
        <f>IFERROR(VLOOKUP(F9,$A$3:G$27,7,0),0)</f>
        <v>14</v>
      </c>
      <c r="I9" s="4">
        <f>IF(ISBLANK(G9),0,IF(G9&gt;H9,IFERROR(VLOOKUP(G9-H9,$AE$3:$AG$30,2,0),26),IFERROR(VLOOKUP(H9-G9,$AE$3:$AG$30,3,0),0)))</f>
        <v>5</v>
      </c>
      <c r="J9" s="3">
        <v>18</v>
      </c>
      <c r="K9" s="2">
        <v>20</v>
      </c>
      <c r="L9" s="2">
        <f>IFERROR(VLOOKUP(J9,$A$3:$K$27,11,0),0)</f>
        <v>20</v>
      </c>
      <c r="M9" s="4">
        <f>IF(ISBLANK(K9),0,IF(K9&gt;L9,IFERROR(VLOOKUP(K9-L9,$AE$3:$AG$30,2,0),26),IFERROR(VLOOKUP(L9-K9,$AE$3:$AG$30,3,0),0)))</f>
        <v>13</v>
      </c>
      <c r="N9" s="33">
        <v>9</v>
      </c>
      <c r="O9" s="34">
        <v>21</v>
      </c>
      <c r="P9" s="34">
        <f>IFERROR(VLOOKUP(N9,$A$3:$O$27,15,0),0)</f>
        <v>2</v>
      </c>
      <c r="Q9" s="35">
        <f>IF(ISBLANK(O9),0,IF(O9&gt;P9,IFERROR(VLOOKUP(O9-P9,$AE$3:$AG$30,2,0),26),IFERROR(VLOOKUP(P9-O9,$AE$3:$AG$30,3,0),0)))</f>
        <v>23</v>
      </c>
      <c r="R9" s="3">
        <v>6</v>
      </c>
      <c r="S9" s="2">
        <v>35</v>
      </c>
      <c r="T9" s="2">
        <f>IFERROR(VLOOKUP(R9,$A$3:$S$27,19,0),0)</f>
        <v>5</v>
      </c>
      <c r="U9" s="4">
        <f>IF(ISBLANK(S9),0,IF(S9&gt;T9,IFERROR(VLOOKUP(S9-T9,$AE$3:$AG$30,2,0),26),IFERROR(VLOOKUP(T9-S9,$AE$3:$AG$30,3,0),0)))</f>
        <v>26</v>
      </c>
      <c r="V9" s="3">
        <v>19</v>
      </c>
      <c r="W9" s="2">
        <v>16</v>
      </c>
      <c r="X9" s="2">
        <f>IFERROR(VLOOKUP(V9,$A$3:W$27,23,0),0)</f>
        <v>19</v>
      </c>
      <c r="Y9" s="4">
        <f>IF(ISBLANK(W9),0,IF(W9&gt;X9,IFERROR(VLOOKUP(W9-X9,$AE$3:$AG$30,2,0),26),IFERROR(VLOOKUP(X9-W9,$AE$3:$AG$30,3,0),0)))</f>
        <v>10</v>
      </c>
      <c r="Z9" s="27">
        <f>IFERROR(SUM(C9,G9,K9,O9,S9,W9)/SUM(D9,H9,L9,P9,T9,X9),10000)</f>
        <v>1.6428571428571428</v>
      </c>
      <c r="AA9" s="8">
        <f>SUM(E9,I9,M9,Q9,U9,Y9)</f>
        <v>97</v>
      </c>
      <c r="AB9" s="8">
        <f>AA9+Z9/100000</f>
        <v>97.000016428571428</v>
      </c>
      <c r="AC9" s="8">
        <f>RANK(AB9,AB:AB)</f>
        <v>5</v>
      </c>
      <c r="AE9" s="3">
        <v>5</v>
      </c>
      <c r="AF9" s="2">
        <v>18</v>
      </c>
      <c r="AG9" s="4">
        <f>26-AF9</f>
        <v>8</v>
      </c>
      <c r="AH9">
        <f t="shared" si="14"/>
        <v>10</v>
      </c>
      <c r="AI9" t="str">
        <f>VLOOKUP(AH9,Team!B:C,2,0)</f>
        <v>WH Fok</v>
      </c>
    </row>
    <row r="10" spans="1:35">
      <c r="A10" s="8">
        <v>9</v>
      </c>
      <c r="B10" s="3">
        <v>12</v>
      </c>
      <c r="C10" s="2">
        <v>35</v>
      </c>
      <c r="D10" s="2">
        <f>IFERROR(VLOOKUP(B10,$A$3:$C$27,3,0),0)</f>
        <v>7</v>
      </c>
      <c r="E10" s="4">
        <f>IF(ISBLANK(C10),0,IF(C10&gt;D10,IFERROR(VLOOKUP(C10-D10,$AE$3:$AG$30,2,0),26),IFERROR(VLOOKUP(D10-C10,$AE$3:$AG$30,3,0),0)))</f>
        <v>26</v>
      </c>
      <c r="F10" s="3">
        <v>15</v>
      </c>
      <c r="G10" s="2">
        <v>12</v>
      </c>
      <c r="H10" s="2">
        <f>IFERROR(VLOOKUP(F10,$A$3:G$27,7,0),0)</f>
        <v>11</v>
      </c>
      <c r="I10" s="4">
        <f>IF(ISBLANK(G10),0,IF(G10&gt;H10,IFERROR(VLOOKUP(G10-H10,$AE$3:$AG$30,2,0),26),IFERROR(VLOOKUP(H10-G10,$AE$3:$AG$30,3,0),0)))</f>
        <v>14</v>
      </c>
      <c r="J10" s="3">
        <v>14</v>
      </c>
      <c r="K10" s="2">
        <v>15</v>
      </c>
      <c r="L10" s="2">
        <f>IFERROR(VLOOKUP(J10,$A$3:$K$27,11,0),0)</f>
        <v>37</v>
      </c>
      <c r="M10" s="4">
        <f>IF(ISBLANK(K10),0,IF(K10&gt;L10,IFERROR(VLOOKUP(K10-L10,$AE$3:$AG$30,2,0),26),IFERROR(VLOOKUP(L10-K10,$AE$3:$AG$30,3,0),0)))</f>
        <v>2</v>
      </c>
      <c r="N10" s="33">
        <v>10</v>
      </c>
      <c r="O10" s="34">
        <v>2</v>
      </c>
      <c r="P10" s="34">
        <f>IFERROR(VLOOKUP(N10,$A$3:$O$27,15,0),0)</f>
        <v>21</v>
      </c>
      <c r="Q10" s="35">
        <f>IF(ISBLANK(O10),0,IF(O10&gt;P10,IFERROR(VLOOKUP(O10-P10,$AE$3:$AG$30,2,0),26),IFERROR(VLOOKUP(P10-O10,$AE$3:$AG$30,3,0),0)))</f>
        <v>3</v>
      </c>
      <c r="R10" s="3">
        <v>20</v>
      </c>
      <c r="S10" s="2">
        <v>33</v>
      </c>
      <c r="T10" s="2">
        <f>IFERROR(VLOOKUP(R10,$A$3:$S$27,19,0),0)</f>
        <v>0</v>
      </c>
      <c r="U10" s="4">
        <f>IF(ISBLANK(S10),0,IF(S10&gt;T10,IFERROR(VLOOKUP(S10-T10,$AE$3:$AG$30,2,0),26),IFERROR(VLOOKUP(T10-S10,$AE$3:$AG$30,3,0),0)))</f>
        <v>26</v>
      </c>
      <c r="V10" s="3">
        <v>11</v>
      </c>
      <c r="W10" s="2">
        <v>25</v>
      </c>
      <c r="X10" s="2">
        <f>IFERROR(VLOOKUP(V10,$A$3:W$27,23,0),0)</f>
        <v>10</v>
      </c>
      <c r="Y10" s="4">
        <f>IF(ISBLANK(W10),0,IF(W10&gt;X10,IFERROR(VLOOKUP(W10-X10,$AE$3:$AG$30,2,0),26),IFERROR(VLOOKUP(X10-W10,$AE$3:$AG$30,3,0),0)))</f>
        <v>22</v>
      </c>
      <c r="Z10" s="27">
        <f>IFERROR(SUM(C10,G10,K10,O10,S10,W10)/SUM(D10,H10,L10,P10,T10,X10),10000)</f>
        <v>1.4186046511627908</v>
      </c>
      <c r="AA10" s="8">
        <f>SUM(E10,I10,M10,Q10,U10,Y10)</f>
        <v>93</v>
      </c>
      <c r="AB10" s="8">
        <f>AA10+Z10/100000</f>
        <v>93.000014186046513</v>
      </c>
      <c r="AC10" s="8">
        <f>RANK(AB10,AB:AB)</f>
        <v>6</v>
      </c>
      <c r="AE10" s="3">
        <v>6</v>
      </c>
      <c r="AF10" s="2">
        <v>18</v>
      </c>
      <c r="AG10" s="4">
        <f>26-AF10</f>
        <v>8</v>
      </c>
      <c r="AH10">
        <f t="shared" si="14"/>
        <v>9</v>
      </c>
      <c r="AI10" t="str">
        <f>VLOOKUP(AH10,Team!B:C,2,0)</f>
        <v>FH Chow</v>
      </c>
    </row>
    <row r="11" spans="1:35">
      <c r="A11" s="8">
        <v>16</v>
      </c>
      <c r="B11" s="3">
        <v>5</v>
      </c>
      <c r="C11" s="2">
        <v>43</v>
      </c>
      <c r="D11" s="2">
        <f>IFERROR(VLOOKUP(B11,$A$3:$C$27,3,0),0)</f>
        <v>14</v>
      </c>
      <c r="E11" s="4">
        <f>IF(ISBLANK(C11),0,IF(C11&gt;D11,IFERROR(VLOOKUP(C11-D11,$AE$3:$AG$30,2,0),26),IFERROR(VLOOKUP(D11-C11,$AE$3:$AG$30,3,0),0)))</f>
        <v>26</v>
      </c>
      <c r="F11" s="3">
        <v>6</v>
      </c>
      <c r="G11" s="2">
        <v>4</v>
      </c>
      <c r="H11" s="2">
        <f>IFERROR(VLOOKUP(F11,$A$3:G$27,7,0),0)</f>
        <v>31</v>
      </c>
      <c r="I11" s="4">
        <f>IF(ISBLANK(G11),0,IF(G11&gt;H11,IFERROR(VLOOKUP(G11-H11,$AE$3:$AG$30,2,0),26),IFERROR(VLOOKUP(H11-G11,$AE$3:$AG$30,3,0),0)))</f>
        <v>0</v>
      </c>
      <c r="J11" s="3">
        <v>12</v>
      </c>
      <c r="K11" s="2">
        <v>46</v>
      </c>
      <c r="L11" s="2">
        <f>IFERROR(VLOOKUP(J11,$A$3:$K$27,11,0),0)</f>
        <v>9</v>
      </c>
      <c r="M11" s="4">
        <f>IF(ISBLANK(K11),0,IF(K11&gt;L11,IFERROR(VLOOKUP(K11-L11,$AE$3:$AG$30,2,0),26),IFERROR(VLOOKUP(L11-K11,$AE$3:$AG$30,3,0),0)))</f>
        <v>26</v>
      </c>
      <c r="N11" s="33">
        <v>14</v>
      </c>
      <c r="O11" s="34">
        <v>31</v>
      </c>
      <c r="P11" s="34">
        <f>IFERROR(VLOOKUP(N11,$A$3:$O$27,15,0),0)</f>
        <v>12</v>
      </c>
      <c r="Q11" s="35">
        <f>IF(ISBLANK(O11),0,IF(O11&gt;P11,IFERROR(VLOOKUP(O11-P11,$AE$3:$AG$30,2,0),26),IFERROR(VLOOKUP(P11-O11,$AE$3:$AG$30,3,0),0)))</f>
        <v>23</v>
      </c>
      <c r="R11" s="3">
        <v>19</v>
      </c>
      <c r="S11" s="2">
        <v>16</v>
      </c>
      <c r="T11" s="2">
        <f>IFERROR(VLOOKUP(R11,$A$3:$S$27,19,0),0)</f>
        <v>15</v>
      </c>
      <c r="U11" s="4">
        <f>IF(ISBLANK(S11),0,IF(S11&gt;T11,IFERROR(VLOOKUP(S11-T11,$AE$3:$AG$30,2,0),26),IFERROR(VLOOKUP(T11-S11,$AE$3:$AG$30,3,0),0)))</f>
        <v>14</v>
      </c>
      <c r="V11" s="3">
        <v>15</v>
      </c>
      <c r="W11" s="2">
        <v>3</v>
      </c>
      <c r="X11" s="2">
        <f>IFERROR(VLOOKUP(V11,$A$3:W$27,23,0),0)</f>
        <v>38</v>
      </c>
      <c r="Y11" s="4">
        <f>IF(ISBLANK(W11),0,IF(W11&gt;X11,IFERROR(VLOOKUP(W11-X11,$AE$3:$AG$30,2,0),26),IFERROR(VLOOKUP(X11-W11,$AE$3:$AG$30,3,0),0)))</f>
        <v>0</v>
      </c>
      <c r="Z11" s="27">
        <f>IFERROR(SUM(C11,G11,K11,O11,S11,W11)/SUM(D11,H11,L11,P11,T11,X11),10000)</f>
        <v>1.2016806722689075</v>
      </c>
      <c r="AA11" s="8">
        <f>SUM(E11,I11,M11,Q11,U11,Y11)</f>
        <v>89</v>
      </c>
      <c r="AB11" s="8">
        <f>AA11+Z11/100000</f>
        <v>89.000012016806721</v>
      </c>
      <c r="AC11" s="8">
        <f>RANK(AB11,AB:AB)</f>
        <v>7</v>
      </c>
      <c r="AE11" s="3">
        <v>7</v>
      </c>
      <c r="AF11" s="2">
        <v>19</v>
      </c>
      <c r="AG11" s="4">
        <f>26-AF11</f>
        <v>7</v>
      </c>
      <c r="AH11">
        <f t="shared" si="14"/>
        <v>16</v>
      </c>
      <c r="AI11" t="str">
        <f>VLOOKUP(AH11,Team!B:C,2,0)</f>
        <v>Gordon Wong</v>
      </c>
    </row>
    <row r="12" spans="1:35">
      <c r="A12" s="8">
        <v>17</v>
      </c>
      <c r="B12" s="3">
        <v>13</v>
      </c>
      <c r="C12" s="2">
        <v>21</v>
      </c>
      <c r="D12" s="2">
        <f>IFERROR(VLOOKUP(B12,$A$3:$C$27,3,0),0)</f>
        <v>35</v>
      </c>
      <c r="E12" s="4">
        <f>IF(ISBLANK(C12),0,IF(C12&gt;D12,IFERROR(VLOOKUP(C12-D12,$AE$3:$AG$30,2,0),26),IFERROR(VLOOKUP(D12-C12,$AE$3:$AG$30,3,0),0)))</f>
        <v>4</v>
      </c>
      <c r="F12" s="3">
        <v>2</v>
      </c>
      <c r="G12" s="2">
        <v>11</v>
      </c>
      <c r="H12" s="2">
        <f>IFERROR(VLOOKUP(F12,$A$3:G$27,7,0),0)</f>
        <v>27</v>
      </c>
      <c r="I12" s="4">
        <f>IF(ISBLANK(G12),0,IF(G12&gt;H12,IFERROR(VLOOKUP(G12-H12,$AE$3:$AG$30,2,0),26),IFERROR(VLOOKUP(H12-G12,$AE$3:$AG$30,3,0),0)))</f>
        <v>4</v>
      </c>
      <c r="J12" s="3">
        <v>21</v>
      </c>
      <c r="K12" s="2">
        <v>23</v>
      </c>
      <c r="L12" s="2">
        <f>IFERROR(VLOOKUP(J12,$A$3:$K$27,11,0),0)</f>
        <v>11</v>
      </c>
      <c r="M12" s="4">
        <f>IF(ISBLANK(K12),0,IF(K12&gt;L12,IFERROR(VLOOKUP(K12-L12,$AE$3:$AG$30,2,0),26),IFERROR(VLOOKUP(L12-K12,$AE$3:$AG$30,3,0),0)))</f>
        <v>21</v>
      </c>
      <c r="N12" s="33">
        <v>23</v>
      </c>
      <c r="O12" s="34">
        <v>23</v>
      </c>
      <c r="P12" s="34">
        <f>IFERROR(VLOOKUP(N12,$A$3:$O$27,15,0),0)</f>
        <v>19</v>
      </c>
      <c r="Q12" s="35">
        <f>IF(ISBLANK(O12),0,IF(O12&gt;P12,IFERROR(VLOOKUP(O12-P12,$AE$3:$AG$30,2,0),26),IFERROR(VLOOKUP(P12-O12,$AE$3:$AG$30,3,0),0)))</f>
        <v>17</v>
      </c>
      <c r="R12" s="3">
        <v>22</v>
      </c>
      <c r="S12" s="2">
        <v>30</v>
      </c>
      <c r="T12" s="2">
        <f>IFERROR(VLOOKUP(R12,$A$3:$S$27,19,0),0)</f>
        <v>27</v>
      </c>
      <c r="U12" s="4">
        <f>IF(ISBLANK(S12),0,IF(S12&gt;T12,IFERROR(VLOOKUP(S12-T12,$AE$3:$AG$30,2,0),26),IFERROR(VLOOKUP(T12-S12,$AE$3:$AG$30,3,0),0)))</f>
        <v>16</v>
      </c>
      <c r="V12" s="3">
        <v>8</v>
      </c>
      <c r="W12" s="2">
        <v>42</v>
      </c>
      <c r="X12" s="2">
        <f>IFERROR(VLOOKUP(V12,$A$3:W$27,23,0),0)</f>
        <v>12</v>
      </c>
      <c r="Y12" s="4">
        <f>IF(ISBLANK(W12),0,IF(W12&gt;X12,IFERROR(VLOOKUP(W12-X12,$AE$3:$AG$30,2,0),26),IFERROR(VLOOKUP(X12-W12,$AE$3:$AG$30,3,0),0)))</f>
        <v>26</v>
      </c>
      <c r="Z12" s="27">
        <f>IFERROR(SUM(C12,G12,K12,O12,S12,W12)/SUM(D12,H12,L12,P12,T12,X12),10000)</f>
        <v>1.1450381679389312</v>
      </c>
      <c r="AA12" s="8">
        <f>SUM(E12,I12,M12,Q12,U12,Y12)</f>
        <v>88</v>
      </c>
      <c r="AB12" s="8">
        <f>AA12+Z12/100000</f>
        <v>88.000011450381677</v>
      </c>
      <c r="AC12" s="8">
        <f>RANK(AB12,AB:AB)</f>
        <v>8</v>
      </c>
      <c r="AE12" s="3">
        <v>8</v>
      </c>
      <c r="AF12" s="2">
        <v>19</v>
      </c>
      <c r="AG12" s="4">
        <f>26-AF12</f>
        <v>7</v>
      </c>
      <c r="AH12">
        <f t="shared" si="14"/>
        <v>17</v>
      </c>
      <c r="AI12" t="str">
        <f>VLOOKUP(AH12,Team!B:C,2,0)</f>
        <v>Vinci Wan</v>
      </c>
    </row>
    <row r="13" spans="1:35">
      <c r="A13" s="8">
        <v>18</v>
      </c>
      <c r="B13" s="3">
        <v>8</v>
      </c>
      <c r="C13" s="2">
        <v>1</v>
      </c>
      <c r="D13" s="2">
        <f>IFERROR(VLOOKUP(B13,$A$3:$C$27,3,0),0)</f>
        <v>50</v>
      </c>
      <c r="E13" s="4">
        <f>IF(ISBLANK(C13),0,IF(C13&gt;D13,IFERROR(VLOOKUP(C13-D13,$AE$3:$AG$30,2,0),26),IFERROR(VLOOKUP(D13-C13,$AE$3:$AG$30,3,0),0)))</f>
        <v>0</v>
      </c>
      <c r="F13" s="24" t="s">
        <v>44</v>
      </c>
      <c r="G13" s="25">
        <v>12</v>
      </c>
      <c r="H13" s="25">
        <v>6</v>
      </c>
      <c r="I13" s="26">
        <f>IF(ISBLANK(G13),0,IF(G13&gt;H13,IFERROR(VLOOKUP(G13-H13,$AE$3:$AG$30,2,0),26),IFERROR(VLOOKUP(H13-G13,$AE$3:$AG$30,3,0),0)))</f>
        <v>18</v>
      </c>
      <c r="J13" s="3">
        <v>10</v>
      </c>
      <c r="K13" s="2">
        <v>20</v>
      </c>
      <c r="L13" s="2">
        <f>IFERROR(VLOOKUP(J13,$A$3:$K$27,11,0),0)</f>
        <v>20</v>
      </c>
      <c r="M13" s="4">
        <f>IF(ISBLANK(K13),0,IF(K13&gt;L13,IFERROR(VLOOKUP(K13-L13,$AE$3:$AG$30,2,0),26),IFERROR(VLOOKUP(L13-K13,$AE$3:$AG$30,3,0),0)))</f>
        <v>13</v>
      </c>
      <c r="N13" s="33">
        <v>22</v>
      </c>
      <c r="O13" s="34">
        <v>11</v>
      </c>
      <c r="P13" s="34">
        <f>IFERROR(VLOOKUP(N13,$A$3:$O$27,15,0),0)</f>
        <v>12</v>
      </c>
      <c r="Q13" s="35">
        <f>IF(ISBLANK(O13),0,IF(O13&gt;P13,IFERROR(VLOOKUP(O13-P13,$AE$3:$AG$30,2,0),26),IFERROR(VLOOKUP(P13-O13,$AE$3:$AG$30,3,0),0)))</f>
        <v>12</v>
      </c>
      <c r="R13" s="3">
        <v>12</v>
      </c>
      <c r="S13" s="2">
        <v>33</v>
      </c>
      <c r="T13" s="2">
        <f>IFERROR(VLOOKUP(R13,$A$3:$S$27,19,0),0)</f>
        <v>8</v>
      </c>
      <c r="U13" s="4">
        <f>IF(ISBLANK(S13),0,IF(S13&gt;T13,IFERROR(VLOOKUP(S13-T13,$AE$3:$AG$30,2,0),26),IFERROR(VLOOKUP(T13-S13,$AE$3:$AG$30,3,0),0)))</f>
        <v>25</v>
      </c>
      <c r="V13" s="3">
        <v>14</v>
      </c>
      <c r="W13" s="2">
        <v>28</v>
      </c>
      <c r="X13" s="2">
        <f>IFERROR(VLOOKUP(V13,$A$3:W$27,23,0),0)</f>
        <v>19</v>
      </c>
      <c r="Y13" s="4">
        <f>IF(ISBLANK(W13),0,IF(W13&gt;X13,IFERROR(VLOOKUP(W13-X13,$AE$3:$AG$30,2,0),26),IFERROR(VLOOKUP(X13-W13,$AE$3:$AG$30,3,0),0)))</f>
        <v>20</v>
      </c>
      <c r="Z13" s="27">
        <f>IFERROR(SUM(C13,G13,K13,O13,S13,W13)/SUM(D13,H13,L13,P13,T13,X13),10000)</f>
        <v>0.91304347826086951</v>
      </c>
      <c r="AA13" s="8">
        <f>SUM(E13,I13,M13,Q13,U13,Y13)</f>
        <v>88</v>
      </c>
      <c r="AB13" s="8">
        <f>AA13+Z13/100000</f>
        <v>88.000009130434776</v>
      </c>
      <c r="AC13" s="8">
        <f>RANK(AB13,AB:AB)</f>
        <v>9</v>
      </c>
      <c r="AE13" s="3">
        <v>9</v>
      </c>
      <c r="AF13" s="2">
        <v>20</v>
      </c>
      <c r="AG13" s="4">
        <f>26-AF13</f>
        <v>6</v>
      </c>
      <c r="AH13">
        <f t="shared" si="14"/>
        <v>18</v>
      </c>
      <c r="AI13" t="str">
        <f>VLOOKUP(AH13,Team!B:C,2,0)</f>
        <v>Law Ka Ho</v>
      </c>
    </row>
    <row r="14" spans="1:35">
      <c r="A14" s="8">
        <v>4</v>
      </c>
      <c r="B14" s="3">
        <v>22</v>
      </c>
      <c r="C14" s="2">
        <v>19</v>
      </c>
      <c r="D14" s="2">
        <f>IFERROR(VLOOKUP(B14,$A$3:$C$27,3,0),0)</f>
        <v>7</v>
      </c>
      <c r="E14" s="4">
        <f>IF(ISBLANK(C14),0,IF(C14&gt;D14,IFERROR(VLOOKUP(C14-D14,$AE$3:$AG$30,2,0),26),IFERROR(VLOOKUP(D14-C14,$AE$3:$AG$30,3,0),0)))</f>
        <v>21</v>
      </c>
      <c r="F14" s="3">
        <v>13</v>
      </c>
      <c r="G14" s="2">
        <v>21</v>
      </c>
      <c r="H14" s="2">
        <f>IFERROR(VLOOKUP(F14,$A$3:G$27,7,0),0)</f>
        <v>28</v>
      </c>
      <c r="I14" s="4">
        <f>IF(ISBLANK(G14),0,IF(G14&gt;H14,IFERROR(VLOOKUP(G14-H14,$AE$3:$AG$30,2,0),26),IFERROR(VLOOKUP(H14-G14,$AE$3:$AG$30,3,0),0)))</f>
        <v>7</v>
      </c>
      <c r="J14" s="3">
        <v>2</v>
      </c>
      <c r="K14" s="2">
        <v>5</v>
      </c>
      <c r="L14" s="2">
        <f>IFERROR(VLOOKUP(J14,$A$3:$K$27,11,0),0)</f>
        <v>11</v>
      </c>
      <c r="M14" s="4">
        <f>IF(ISBLANK(K14),0,IF(K14&gt;L14,IFERROR(VLOOKUP(K14-L14,$AE$3:$AG$30,2,0),26),IFERROR(VLOOKUP(L14-K14,$AE$3:$AG$30,3,0),0)))</f>
        <v>8</v>
      </c>
      <c r="N14" s="33">
        <v>3</v>
      </c>
      <c r="O14" s="34">
        <v>22</v>
      </c>
      <c r="P14" s="34">
        <f>IFERROR(VLOOKUP(N14,$A$3:$O$27,15,0),0)</f>
        <v>13</v>
      </c>
      <c r="Q14" s="35">
        <f>IF(ISBLANK(O14),0,IF(O14&gt;P14,IFERROR(VLOOKUP(O14-P14,$AE$3:$AG$30,2,0),26),IFERROR(VLOOKUP(P14-O14,$AE$3:$AG$30,3,0),0)))</f>
        <v>20</v>
      </c>
      <c r="R14" s="3">
        <v>8</v>
      </c>
      <c r="S14" s="2">
        <v>32</v>
      </c>
      <c r="T14" s="2">
        <f>IFERROR(VLOOKUP(R14,$A$3:$S$27,19,0),0)</f>
        <v>23</v>
      </c>
      <c r="U14" s="4">
        <f>IF(ISBLANK(S14),0,IF(S14&gt;T14,IFERROR(VLOOKUP(S14-T14,$AE$3:$AG$30,2,0),26),IFERROR(VLOOKUP(T14-S14,$AE$3:$AG$30,3,0),0)))</f>
        <v>20</v>
      </c>
      <c r="V14" s="3">
        <v>2</v>
      </c>
      <c r="W14" s="2">
        <v>12</v>
      </c>
      <c r="X14" s="2">
        <f>IFERROR(VLOOKUP(V14,$A$3:W$27,23,0),0)</f>
        <v>23</v>
      </c>
      <c r="Y14" s="4">
        <f>IF(ISBLANK(W14),0,IF(W14&gt;X14,IFERROR(VLOOKUP(W14-X14,$AE$3:$AG$30,2,0),26),IFERROR(VLOOKUP(X14-W14,$AE$3:$AG$30,3,0),0)))</f>
        <v>5</v>
      </c>
      <c r="Z14" s="27">
        <f>IFERROR(SUM(C14,G14,K14,O14,S14,W14)/SUM(D14,H14,L14,P14,T14,X14),10000)</f>
        <v>1.0571428571428572</v>
      </c>
      <c r="AA14" s="8">
        <f>SUM(E14,I14,M14,Q14,U14,Y14)</f>
        <v>81</v>
      </c>
      <c r="AB14" s="8">
        <f>AA14+Z14/100000</f>
        <v>81.000010571428575</v>
      </c>
      <c r="AC14" s="8">
        <f>RANK(AB14,AB:AB)</f>
        <v>10</v>
      </c>
      <c r="AE14" s="3">
        <v>10</v>
      </c>
      <c r="AF14" s="2">
        <v>20</v>
      </c>
      <c r="AG14" s="4">
        <f>26-AF14</f>
        <v>6</v>
      </c>
      <c r="AH14">
        <f t="shared" si="14"/>
        <v>4</v>
      </c>
      <c r="AI14" t="str">
        <f>VLOOKUP(AH14,Team!B:C,2,0)</f>
        <v>3-3 Break</v>
      </c>
    </row>
    <row r="15" spans="1:35">
      <c r="A15" s="8">
        <v>2</v>
      </c>
      <c r="B15" s="3">
        <v>10</v>
      </c>
      <c r="C15" s="2">
        <v>10</v>
      </c>
      <c r="D15" s="2">
        <f>IFERROR(VLOOKUP(B15,$A$3:$C$27,3,0),0)</f>
        <v>20</v>
      </c>
      <c r="E15" s="4">
        <f>IF(ISBLANK(C15),0,IF(C15&gt;D15,IFERROR(VLOOKUP(C15-D15,$AE$3:$AG$30,2,0),26),IFERROR(VLOOKUP(D15-C15,$AE$3:$AG$30,3,0),0)))</f>
        <v>6</v>
      </c>
      <c r="F15" s="3">
        <v>17</v>
      </c>
      <c r="G15" s="2">
        <v>27</v>
      </c>
      <c r="H15" s="2">
        <f>IFERROR(VLOOKUP(F15,$A$3:G$27,7,0),0)</f>
        <v>11</v>
      </c>
      <c r="I15" s="4">
        <f>IF(ISBLANK(G15),0,IF(G15&gt;H15,IFERROR(VLOOKUP(G15-H15,$AE$3:$AG$30,2,0),26),IFERROR(VLOOKUP(H15-G15,$AE$3:$AG$30,3,0),0)))</f>
        <v>22</v>
      </c>
      <c r="J15" s="3">
        <v>4</v>
      </c>
      <c r="K15" s="2">
        <v>11</v>
      </c>
      <c r="L15" s="2">
        <f>IFERROR(VLOOKUP(J15,$A$3:$K$27,11,0),0)</f>
        <v>5</v>
      </c>
      <c r="M15" s="4">
        <f>IF(ISBLANK(K15),0,IF(K15&gt;L15,IFERROR(VLOOKUP(K15-L15,$AE$3:$AG$30,2,0),26),IFERROR(VLOOKUP(L15-K15,$AE$3:$AG$30,3,0),0)))</f>
        <v>18</v>
      </c>
      <c r="N15" s="33">
        <v>19</v>
      </c>
      <c r="O15" s="34">
        <v>12</v>
      </c>
      <c r="P15" s="34">
        <f>IFERROR(VLOOKUP(N15,$A$3:$O$27,15,0),0)</f>
        <v>29</v>
      </c>
      <c r="Q15" s="35">
        <f>IF(ISBLANK(O15),0,IF(O15&gt;P15,IFERROR(VLOOKUP(O15-P15,$AE$3:$AG$30,2,0),26),IFERROR(VLOOKUP(P15-O15,$AE$3:$AG$30,3,0),0)))</f>
        <v>3</v>
      </c>
      <c r="R15" s="3">
        <v>11</v>
      </c>
      <c r="S15" s="2">
        <v>10</v>
      </c>
      <c r="T15" s="2">
        <f>IFERROR(VLOOKUP(R15,$A$3:$S$27,19,0),0)</f>
        <v>13</v>
      </c>
      <c r="U15" s="4">
        <f>IF(ISBLANK(S15),0,IF(S15&gt;T15,IFERROR(VLOOKUP(S15-T15,$AE$3:$AG$30,2,0),26),IFERROR(VLOOKUP(T15-S15,$AE$3:$AG$30,3,0),0)))</f>
        <v>10</v>
      </c>
      <c r="V15" s="3">
        <v>22</v>
      </c>
      <c r="W15" s="2">
        <v>23</v>
      </c>
      <c r="X15" s="2">
        <f>IFERROR(VLOOKUP(V15,$A$3:W$27,23,0),0)</f>
        <v>17</v>
      </c>
      <c r="Y15" s="4">
        <f>IF(ISBLANK(W15),0,IF(W15&gt;X15,IFERROR(VLOOKUP(W15-X15,$AE$3:$AG$30,2,0),26),IFERROR(VLOOKUP(X15-W15,$AE$3:$AG$30,3,0),0)))</f>
        <v>18</v>
      </c>
      <c r="Z15" s="27">
        <f>IFERROR(SUM(C15,G15,K15,O15,S15,W15)/SUM(D15,H15,L15,P15,T15,X15),10000)</f>
        <v>0.97894736842105268</v>
      </c>
      <c r="AA15" s="8">
        <f>SUM(E15,I15,M15,Q15,U15,Y15)</f>
        <v>77</v>
      </c>
      <c r="AB15" s="8">
        <f>AA15+Z15/100000</f>
        <v>77.00000978947368</v>
      </c>
      <c r="AC15" s="8">
        <f>RANK(AB15,AB:AB)</f>
        <v>11</v>
      </c>
      <c r="AE15" s="3">
        <v>11</v>
      </c>
      <c r="AF15" s="2">
        <v>21</v>
      </c>
      <c r="AG15" s="4">
        <f>26-AF15</f>
        <v>5</v>
      </c>
      <c r="AH15">
        <f t="shared" si="14"/>
        <v>2</v>
      </c>
      <c r="AI15" t="str">
        <f>VLOOKUP(AH15,Team!B:C,2,0)</f>
        <v>Jack Wong, Sunny Lau</v>
      </c>
    </row>
    <row r="16" spans="1:35">
      <c r="A16" s="8">
        <v>11</v>
      </c>
      <c r="B16" s="3">
        <v>6</v>
      </c>
      <c r="C16" s="2">
        <v>2</v>
      </c>
      <c r="D16" s="2">
        <f>IFERROR(VLOOKUP(B16,$A$3:$C$27,3,0),0)</f>
        <v>27</v>
      </c>
      <c r="E16" s="4">
        <f>IF(ISBLANK(C16),0,IF(C16&gt;D16,IFERROR(VLOOKUP(C16-D16,$AE$3:$AG$30,2,0),26),IFERROR(VLOOKUP(D16-C16,$AE$3:$AG$30,3,0),0)))</f>
        <v>1</v>
      </c>
      <c r="F16" s="3">
        <v>21</v>
      </c>
      <c r="G16" s="2">
        <v>32</v>
      </c>
      <c r="H16" s="2">
        <f>IFERROR(VLOOKUP(F16,$A$3:G$27,7,0),0)</f>
        <v>11</v>
      </c>
      <c r="I16" s="4">
        <f>IF(ISBLANK(G16),0,IF(G16&gt;H16,IFERROR(VLOOKUP(G16-H16,$AE$3:$AG$30,2,0),26),IFERROR(VLOOKUP(H16-G16,$AE$3:$AG$30,3,0),0)))</f>
        <v>24</v>
      </c>
      <c r="J16" s="3">
        <v>22</v>
      </c>
      <c r="K16" s="2">
        <v>13</v>
      </c>
      <c r="L16" s="2">
        <f>IFERROR(VLOOKUP(J16,$A$3:$K$27,11,0),0)</f>
        <v>6</v>
      </c>
      <c r="M16" s="4">
        <f>IF(ISBLANK(K16),0,IF(K16&gt;L16,IFERROR(VLOOKUP(K16-L16,$AE$3:$AG$30,2,0),26),IFERROR(VLOOKUP(L16-K16,$AE$3:$AG$30,3,0),0)))</f>
        <v>19</v>
      </c>
      <c r="N16" s="33">
        <v>13</v>
      </c>
      <c r="O16" s="34">
        <v>18</v>
      </c>
      <c r="P16" s="34">
        <f>IFERROR(VLOOKUP(N16,$A$3:$O$27,15,0),0)</f>
        <v>19</v>
      </c>
      <c r="Q16" s="35">
        <f>IF(ISBLANK(O16),0,IF(O16&gt;P16,IFERROR(VLOOKUP(O16-P16,$AE$3:$AG$30,2,0),26),IFERROR(VLOOKUP(P16-O16,$AE$3:$AG$30,3,0),0)))</f>
        <v>12</v>
      </c>
      <c r="R16" s="3">
        <v>2</v>
      </c>
      <c r="S16" s="2">
        <v>13</v>
      </c>
      <c r="T16" s="2">
        <f>IFERROR(VLOOKUP(R16,$A$3:$S$27,19,0),0)</f>
        <v>10</v>
      </c>
      <c r="U16" s="4">
        <f>IF(ISBLANK(S16),0,IF(S16&gt;T16,IFERROR(VLOOKUP(S16-T16,$AE$3:$AG$30,2,0),26),IFERROR(VLOOKUP(T16-S16,$AE$3:$AG$30,3,0),0)))</f>
        <v>16</v>
      </c>
      <c r="V16" s="3">
        <v>9</v>
      </c>
      <c r="W16" s="2">
        <v>10</v>
      </c>
      <c r="X16" s="2">
        <f>IFERROR(VLOOKUP(V16,$A$3:W$27,23,0),0)</f>
        <v>25</v>
      </c>
      <c r="Y16" s="4">
        <f>IF(ISBLANK(W16),0,IF(W16&gt;X16,IFERROR(VLOOKUP(W16-X16,$AE$3:$AG$30,2,0),26),IFERROR(VLOOKUP(X16-W16,$AE$3:$AG$30,3,0),0)))</f>
        <v>4</v>
      </c>
      <c r="Z16" s="27">
        <f>IFERROR(SUM(C16,G16,K16,O16,S16,W16)/SUM(D16,H16,L16,P16,T16,X16),10000)</f>
        <v>0.89795918367346939</v>
      </c>
      <c r="AA16" s="8">
        <f>SUM(E16,I16,M16,Q16,U16,Y16)</f>
        <v>76</v>
      </c>
      <c r="AB16" s="8">
        <f>AA16+Z16/100000</f>
        <v>76.00000897959184</v>
      </c>
      <c r="AC16" s="8">
        <f>RANK(AB16,AB:AB)</f>
        <v>12</v>
      </c>
      <c r="AE16" s="3">
        <v>12</v>
      </c>
      <c r="AF16" s="2">
        <v>21</v>
      </c>
      <c r="AG16" s="4">
        <f>26-AF16</f>
        <v>5</v>
      </c>
      <c r="AH16">
        <f t="shared" si="14"/>
        <v>11</v>
      </c>
      <c r="AI16" t="str">
        <f>VLOOKUP(AH16,Team!B:C,2,0)</f>
        <v>Fu Cheung</v>
      </c>
    </row>
    <row r="17" spans="1:35">
      <c r="A17" s="8">
        <v>13</v>
      </c>
      <c r="B17" s="3">
        <v>17</v>
      </c>
      <c r="C17" s="2">
        <v>35</v>
      </c>
      <c r="D17" s="2">
        <f>IFERROR(VLOOKUP(B17,$A$3:$C$27,3,0),0)</f>
        <v>21</v>
      </c>
      <c r="E17" s="4">
        <f>IF(ISBLANK(C17),0,IF(C17&gt;D17,IFERROR(VLOOKUP(C17-D17,$AE$3:$AG$30,2,0),26),IFERROR(VLOOKUP(D17-C17,$AE$3:$AG$30,3,0),0)))</f>
        <v>22</v>
      </c>
      <c r="F17" s="3">
        <v>4</v>
      </c>
      <c r="G17" s="2">
        <v>28</v>
      </c>
      <c r="H17" s="2">
        <f>IFERROR(VLOOKUP(F17,$A$3:G$27,7,0),0)</f>
        <v>21</v>
      </c>
      <c r="I17" s="4">
        <f>IF(ISBLANK(G17),0,IF(G17&gt;H17,IFERROR(VLOOKUP(G17-H17,$AE$3:$AG$30,2,0),26),IFERROR(VLOOKUP(H17-G17,$AE$3:$AG$30,3,0),0)))</f>
        <v>19</v>
      </c>
      <c r="J17" s="3">
        <v>1</v>
      </c>
      <c r="K17" s="2">
        <v>20</v>
      </c>
      <c r="L17" s="2">
        <f>IFERROR(VLOOKUP(J17,$A$3:$K$27,11,0),0)</f>
        <v>31</v>
      </c>
      <c r="M17" s="4">
        <f>IF(ISBLANK(K17),0,IF(K17&gt;L17,IFERROR(VLOOKUP(K17-L17,$AE$3:$AG$30,2,0),26),IFERROR(VLOOKUP(L17-K17,$AE$3:$AG$30,3,0),0)))</f>
        <v>5</v>
      </c>
      <c r="N17" s="33">
        <v>11</v>
      </c>
      <c r="O17" s="34">
        <v>19</v>
      </c>
      <c r="P17" s="34">
        <f>IFERROR(VLOOKUP(N17,$A$3:$O$27,15,0),0)</f>
        <v>18</v>
      </c>
      <c r="Q17" s="35">
        <f>IF(ISBLANK(O17),0,IF(O17&gt;P17,IFERROR(VLOOKUP(O17-P17,$AE$3:$AG$30,2,0),26),IFERROR(VLOOKUP(P17-O17,$AE$3:$AG$30,3,0),0)))</f>
        <v>14</v>
      </c>
      <c r="R17" s="3">
        <v>14</v>
      </c>
      <c r="S17" s="2">
        <v>13</v>
      </c>
      <c r="T17" s="2">
        <f>IFERROR(VLOOKUP(R17,$A$3:$S$27,19,0),0)</f>
        <v>11</v>
      </c>
      <c r="U17" s="4">
        <f>IF(ISBLANK(S17),0,IF(S17&gt;T17,IFERROR(VLOOKUP(S17-T17,$AE$3:$AG$30,2,0),26),IFERROR(VLOOKUP(T17-S17,$AE$3:$AG$30,3,0),0)))</f>
        <v>15</v>
      </c>
      <c r="V17" s="3">
        <v>6</v>
      </c>
      <c r="W17" s="2">
        <v>7</v>
      </c>
      <c r="X17" s="2">
        <f>IFERROR(VLOOKUP(V17,$A$3:W$27,23,0),0)</f>
        <v>61</v>
      </c>
      <c r="Y17" s="4">
        <f>IF(ISBLANK(W17),0,IF(W17&gt;X17,IFERROR(VLOOKUP(W17-X17,$AE$3:$AG$30,2,0),26),IFERROR(VLOOKUP(X17-W17,$AE$3:$AG$30,3,0),0)))</f>
        <v>0</v>
      </c>
      <c r="Z17" s="27">
        <f>IFERROR(SUM(C17,G17,K17,O17,S17,W17)/SUM(D17,H17,L17,P17,T17,X17),10000)</f>
        <v>0.74846625766871167</v>
      </c>
      <c r="AA17" s="8">
        <f>SUM(E17,I17,M17,Q17,U17,Y17)</f>
        <v>75</v>
      </c>
      <c r="AB17" s="8">
        <f>AA17+Z17/100000</f>
        <v>75.000007484662575</v>
      </c>
      <c r="AC17" s="8">
        <f>RANK(AB17,AB:AB)</f>
        <v>13</v>
      </c>
      <c r="AE17" s="3">
        <v>13</v>
      </c>
      <c r="AF17" s="2">
        <v>21</v>
      </c>
      <c r="AG17" s="4">
        <f>26-AF17</f>
        <v>5</v>
      </c>
      <c r="AH17">
        <f t="shared" si="14"/>
        <v>13</v>
      </c>
      <c r="AI17" t="str">
        <f>VLOOKUP(AH17,Team!B:C,2,0)</f>
        <v>Sunny Mo</v>
      </c>
    </row>
    <row r="18" spans="1:35">
      <c r="A18" s="8">
        <v>14</v>
      </c>
      <c r="B18" s="3">
        <v>19</v>
      </c>
      <c r="C18" s="2">
        <v>1</v>
      </c>
      <c r="D18" s="2">
        <f>IFERROR(VLOOKUP(B18,$A$3:$C$27,3,0),0)</f>
        <v>15</v>
      </c>
      <c r="E18" s="4">
        <f>IF(ISBLANK(C18),0,IF(C18&gt;D18,IFERROR(VLOOKUP(C18-D18,$AE$3:$AG$30,2,0),26),IFERROR(VLOOKUP(D18-C18,$AE$3:$AG$30,3,0),0)))</f>
        <v>4</v>
      </c>
      <c r="F18" s="3">
        <v>7</v>
      </c>
      <c r="G18" s="2">
        <v>32</v>
      </c>
      <c r="H18" s="2">
        <f>IFERROR(VLOOKUP(F18,$A$3:G$27,7,0),0)</f>
        <v>3</v>
      </c>
      <c r="I18" s="4">
        <f>IF(ISBLANK(G18),0,IF(G18&gt;H18,IFERROR(VLOOKUP(G18-H18,$AE$3:$AG$30,2,0),26),IFERROR(VLOOKUP(H18-G18,$AE$3:$AG$30,3,0),0)))</f>
        <v>26</v>
      </c>
      <c r="J18" s="3">
        <v>9</v>
      </c>
      <c r="K18" s="2">
        <v>37</v>
      </c>
      <c r="L18" s="2">
        <f>IFERROR(VLOOKUP(J18,$A$3:$K$27,11,0),0)</f>
        <v>15</v>
      </c>
      <c r="M18" s="4">
        <f>IF(ISBLANK(K18),0,IF(K18&gt;L18,IFERROR(VLOOKUP(K18-L18,$AE$3:$AG$30,2,0),26),IFERROR(VLOOKUP(L18-K18,$AE$3:$AG$30,3,0),0)))</f>
        <v>24</v>
      </c>
      <c r="N18" s="33">
        <v>16</v>
      </c>
      <c r="O18" s="34">
        <v>12</v>
      </c>
      <c r="P18" s="34">
        <f>IFERROR(VLOOKUP(N18,$A$3:$O$27,15,0),0)</f>
        <v>31</v>
      </c>
      <c r="Q18" s="35">
        <f>IF(ISBLANK(O18),0,IF(O18&gt;P18,IFERROR(VLOOKUP(O18-P18,$AE$3:$AG$30,2,0),26),IFERROR(VLOOKUP(P18-O18,$AE$3:$AG$30,3,0),0)))</f>
        <v>3</v>
      </c>
      <c r="R18" s="3">
        <v>13</v>
      </c>
      <c r="S18" s="2">
        <v>11</v>
      </c>
      <c r="T18" s="2">
        <f>IFERROR(VLOOKUP(R18,$A$3:$S$27,19,0),0)</f>
        <v>13</v>
      </c>
      <c r="U18" s="4">
        <f>IF(ISBLANK(S18),0,IF(S18&gt;T18,IFERROR(VLOOKUP(S18-T18,$AE$3:$AG$30,2,0),26),IFERROR(VLOOKUP(T18-S18,$AE$3:$AG$30,3,0),0)))</f>
        <v>11</v>
      </c>
      <c r="V18" s="3">
        <v>18</v>
      </c>
      <c r="W18" s="2">
        <v>19</v>
      </c>
      <c r="X18" s="2">
        <f>IFERROR(VLOOKUP(V18,$A$3:W$27,23,0),0)</f>
        <v>28</v>
      </c>
      <c r="Y18" s="4">
        <f>IF(ISBLANK(W18),0,IF(W18&gt;X18,IFERROR(VLOOKUP(W18-X18,$AE$3:$AG$30,2,0),26),IFERROR(VLOOKUP(X18-W18,$AE$3:$AG$30,3,0),0)))</f>
        <v>6</v>
      </c>
      <c r="Z18" s="27">
        <f>IFERROR(SUM(C18,G18,K18,O18,S18,W18)/SUM(D18,H18,L18,P18,T18,X18),10000)</f>
        <v>1.0666666666666667</v>
      </c>
      <c r="AA18" s="8">
        <f>SUM(E18,I18,M18,Q18,U18,Y18)</f>
        <v>74</v>
      </c>
      <c r="AB18" s="8">
        <f>AA18+Z18/100000</f>
        <v>74.000010666666668</v>
      </c>
      <c r="AC18" s="8">
        <f>RANK(AB18,AB:AB)</f>
        <v>14</v>
      </c>
      <c r="AE18" s="3">
        <v>14</v>
      </c>
      <c r="AF18" s="2">
        <v>22</v>
      </c>
      <c r="AG18" s="4">
        <f>26-AF18</f>
        <v>4</v>
      </c>
      <c r="AH18">
        <f t="shared" si="14"/>
        <v>14</v>
      </c>
      <c r="AI18" t="str">
        <f>VLOOKUP(AH18,Team!B:C,2,0)</f>
        <v>Ho Ping Wah</v>
      </c>
    </row>
    <row r="19" spans="1:35">
      <c r="A19" s="23">
        <v>21</v>
      </c>
      <c r="B19" s="24" t="s">
        <v>41</v>
      </c>
      <c r="C19" s="25">
        <v>8</v>
      </c>
      <c r="D19" s="25">
        <v>25</v>
      </c>
      <c r="E19" s="26">
        <f>IF(ISBLANK(C19),0,IF(C19&gt;D19,IFERROR(VLOOKUP(C19-D19,$AE$3:$AG$30,2,0),26),IFERROR(VLOOKUP(D19-C19,$AE$3:$AG$30,3,0),0)))</f>
        <v>3</v>
      </c>
      <c r="F19" s="33">
        <v>11</v>
      </c>
      <c r="G19" s="34">
        <v>11</v>
      </c>
      <c r="H19" s="34">
        <f>IFERROR(VLOOKUP(F19,$A$3:G$27,7,0),0)</f>
        <v>32</v>
      </c>
      <c r="I19" s="35">
        <f>IF(ISBLANK(G19),0,IF(G19&gt;H19,IFERROR(VLOOKUP(G19-H19,$AE$3:$AG$30,2,0),26),IFERROR(VLOOKUP(H19-G19,$AE$3:$AG$30,3,0),0)))</f>
        <v>2</v>
      </c>
      <c r="J19" s="3">
        <v>17</v>
      </c>
      <c r="K19" s="2">
        <v>11</v>
      </c>
      <c r="L19" s="2">
        <f>IFERROR(VLOOKUP(J19,$A$3:$K$27,11,0),0)</f>
        <v>23</v>
      </c>
      <c r="M19" s="4">
        <f>IF(ISBLANK(K19),0,IF(K19&gt;L19,IFERROR(VLOOKUP(K19-L19,$AE$3:$AG$30,2,0),26),IFERROR(VLOOKUP(L19-K19,$AE$3:$AG$30,3,0),0)))</f>
        <v>5</v>
      </c>
      <c r="N19" s="24" t="s">
        <v>46</v>
      </c>
      <c r="O19" s="25">
        <v>6</v>
      </c>
      <c r="P19" s="25">
        <v>17</v>
      </c>
      <c r="Q19" s="26">
        <f>IF(ISBLANK(O19),0,IF(O19&gt;P19,IFERROR(VLOOKUP(O19-P19,$AE$3:$AG$30,2,0),26),IFERROR(VLOOKUP(P19-O19,$AE$3:$AG$30,3,0),0)))</f>
        <v>5</v>
      </c>
      <c r="R19" s="24" t="s">
        <v>48</v>
      </c>
      <c r="S19" s="25">
        <v>66</v>
      </c>
      <c r="T19" s="25">
        <v>4</v>
      </c>
      <c r="U19" s="26">
        <f>IF(ISBLANK(S19),0,IF(S19&gt;T19,IFERROR(VLOOKUP(S19-T19,$AE$3:$AG$30,2,0),26),IFERROR(VLOOKUP(T19-S19,$AE$3:$AG$30,3,0),0)))</f>
        <v>26</v>
      </c>
      <c r="V19" s="24" t="s">
        <v>48</v>
      </c>
      <c r="W19" s="25">
        <v>35</v>
      </c>
      <c r="X19" s="25">
        <v>2</v>
      </c>
      <c r="Y19" s="26">
        <f>IF(ISBLANK(W19),0,IF(W19&gt;X19,IFERROR(VLOOKUP(W19-X19,$AE$3:$AG$30,2,0),26),IFERROR(VLOOKUP(X19-W19,$AE$3:$AG$30,3,0),0)))</f>
        <v>26</v>
      </c>
      <c r="Z19" s="27">
        <f>IFERROR(SUM(C19,G19,K19,O19,S19,W19)/SUM(D19,H19,L19,P19,T19,X19),10000)</f>
        <v>1.3300970873786409</v>
      </c>
      <c r="AA19" s="8">
        <f>SUM(E19,I19,M19,Q19,U19,Y19)</f>
        <v>67</v>
      </c>
      <c r="AB19" s="8">
        <f>AA19+Z19/100000</f>
        <v>67.000013300970878</v>
      </c>
      <c r="AC19" s="8">
        <f>RANK(AB19,AB:AB)</f>
        <v>15</v>
      </c>
      <c r="AE19" s="3">
        <v>15</v>
      </c>
      <c r="AF19" s="2">
        <v>22</v>
      </c>
      <c r="AG19" s="4">
        <f>26-AF19</f>
        <v>4</v>
      </c>
      <c r="AH19">
        <f t="shared" si="14"/>
        <v>21</v>
      </c>
      <c r="AI19" t="str">
        <f>VLOOKUP(AH19,Team!B:C,2,0)</f>
        <v>Anita Au</v>
      </c>
    </row>
    <row r="20" spans="1:35">
      <c r="A20" s="8">
        <v>3</v>
      </c>
      <c r="B20" s="3">
        <v>20</v>
      </c>
      <c r="C20" s="2">
        <v>41</v>
      </c>
      <c r="D20" s="2">
        <f>IFERROR(VLOOKUP(B20,$A$3:$C$27,3,0),0)</f>
        <v>6</v>
      </c>
      <c r="E20" s="4">
        <f>IF(ISBLANK(C20),0,IF(C20&gt;D20,IFERROR(VLOOKUP(C20-D20,$AE$3:$AG$30,2,0),26),IFERROR(VLOOKUP(D20-C20,$AE$3:$AG$30,3,0),0)))</f>
        <v>26</v>
      </c>
      <c r="F20" s="3">
        <v>8</v>
      </c>
      <c r="G20" s="2">
        <v>20</v>
      </c>
      <c r="H20" s="2">
        <f>IFERROR(VLOOKUP(F20,$A$3:G$27,7,0),0)</f>
        <v>36</v>
      </c>
      <c r="I20" s="4">
        <f>IF(ISBLANK(G20),0,IF(G20&gt;H20,IFERROR(VLOOKUP(G20-H20,$AE$3:$AG$30,2,0),26),IFERROR(VLOOKUP(H20-G20,$AE$3:$AG$30,3,0),0)))</f>
        <v>4</v>
      </c>
      <c r="J20" s="3">
        <v>15</v>
      </c>
      <c r="K20" s="2">
        <v>10</v>
      </c>
      <c r="L20" s="2">
        <f>IFERROR(VLOOKUP(J20,$A$3:$K$27,11,0),0)</f>
        <v>35</v>
      </c>
      <c r="M20" s="4">
        <f>IF(ISBLANK(K20),0,IF(K20&gt;L20,IFERROR(VLOOKUP(K20-L20,$AE$3:$AG$30,2,0),26),IFERROR(VLOOKUP(L20-K20,$AE$3:$AG$30,3,0),0)))</f>
        <v>1</v>
      </c>
      <c r="N20" s="33">
        <v>4</v>
      </c>
      <c r="O20" s="34">
        <v>13</v>
      </c>
      <c r="P20" s="34">
        <f>IFERROR(VLOOKUP(N20,$A$3:$O$27,15,0),0)</f>
        <v>22</v>
      </c>
      <c r="Q20" s="35">
        <f>IF(ISBLANK(O20),0,IF(O20&gt;P20,IFERROR(VLOOKUP(O20-P20,$AE$3:$AG$30,2,0),26),IFERROR(VLOOKUP(P20-O20,$AE$3:$AG$30,3,0),0)))</f>
        <v>6</v>
      </c>
      <c r="R20" s="3">
        <v>23</v>
      </c>
      <c r="S20" s="2">
        <v>13</v>
      </c>
      <c r="T20" s="2">
        <f>IFERROR(VLOOKUP(R20,$A$3:$S$27,19,0),0)</f>
        <v>9</v>
      </c>
      <c r="U20" s="4">
        <f>IF(ISBLANK(S20),0,IF(S20&gt;T20,IFERROR(VLOOKUP(S20-T20,$AE$3:$AG$30,2,0),26),IFERROR(VLOOKUP(T20-S20,$AE$3:$AG$30,3,0),0)))</f>
        <v>17</v>
      </c>
      <c r="V20" s="3">
        <v>12</v>
      </c>
      <c r="W20" s="2">
        <v>8</v>
      </c>
      <c r="X20" s="2">
        <f>IFERROR(VLOOKUP(V20,$A$3:W$27,23,0),0)</f>
        <v>9</v>
      </c>
      <c r="Y20" s="4">
        <f>IF(ISBLANK(W20),0,IF(W20&gt;X20,IFERROR(VLOOKUP(W20-X20,$AE$3:$AG$30,2,0),26),IFERROR(VLOOKUP(X20-W20,$AE$3:$AG$30,3,0),0)))</f>
        <v>12</v>
      </c>
      <c r="Z20" s="27">
        <f>IFERROR(SUM(C20,G20,K20,O20,S20,W20)/SUM(D20,H20,L20,P20,T20,X20),10000)</f>
        <v>0.89743589743589747</v>
      </c>
      <c r="AA20" s="8">
        <f>SUM(E20,I20,M20,Q20,U20,Y20)</f>
        <v>66</v>
      </c>
      <c r="AB20" s="8">
        <f>AA20+Z20/100000</f>
        <v>66.000008974358977</v>
      </c>
      <c r="AC20" s="8">
        <f>RANK(AB20,AB:AB)</f>
        <v>16</v>
      </c>
      <c r="AE20" s="3">
        <v>16</v>
      </c>
      <c r="AF20" s="2">
        <v>22</v>
      </c>
      <c r="AG20" s="4">
        <f>26-AF20</f>
        <v>4</v>
      </c>
      <c r="AH20">
        <f t="shared" si="14"/>
        <v>3</v>
      </c>
      <c r="AI20" t="str">
        <f>VLOOKUP(AH20,Team!B:C,2,0)</f>
        <v>Ghost of Red</v>
      </c>
    </row>
    <row r="21" spans="1:35">
      <c r="A21" s="8">
        <v>22</v>
      </c>
      <c r="B21" s="3">
        <v>4</v>
      </c>
      <c r="C21" s="2">
        <v>7</v>
      </c>
      <c r="D21" s="2">
        <f>IFERROR(VLOOKUP(B21,$A$3:$C$27,3,0),0)</f>
        <v>19</v>
      </c>
      <c r="E21" s="4">
        <f>IF(ISBLANK(C21),0,IF(C21&gt;D21,IFERROR(VLOOKUP(C21-D21,$AE$3:$AG$30,2,0),26),IFERROR(VLOOKUP(D21-C21,$AE$3:$AG$30,3,0),0)))</f>
        <v>5</v>
      </c>
      <c r="F21" s="3">
        <v>10</v>
      </c>
      <c r="G21" s="2">
        <v>14</v>
      </c>
      <c r="H21" s="2">
        <f>IFERROR(VLOOKUP(F21,$A$3:G$27,7,0),0)</f>
        <v>3</v>
      </c>
      <c r="I21" s="4">
        <f>IF(ISBLANK(G21),0,IF(G21&gt;H21,IFERROR(VLOOKUP(G21-H21,$AE$3:$AG$30,2,0),26),IFERROR(VLOOKUP(H21-G21,$AE$3:$AG$30,3,0),0)))</f>
        <v>21</v>
      </c>
      <c r="J21" s="3">
        <v>11</v>
      </c>
      <c r="K21" s="2">
        <v>6</v>
      </c>
      <c r="L21" s="2">
        <f>IFERROR(VLOOKUP(J21,$A$3:$K$27,11,0),0)</f>
        <v>13</v>
      </c>
      <c r="M21" s="4">
        <f>IF(ISBLANK(K21),0,IF(K21&gt;L21,IFERROR(VLOOKUP(K21-L21,$AE$3:$AG$30,2,0),26),IFERROR(VLOOKUP(L21-K21,$AE$3:$AG$30,3,0),0)))</f>
        <v>7</v>
      </c>
      <c r="N21" s="33">
        <v>18</v>
      </c>
      <c r="O21" s="34">
        <v>12</v>
      </c>
      <c r="P21" s="34">
        <f>IFERROR(VLOOKUP(N21,$A$3:$O$27,15,0),0)</f>
        <v>11</v>
      </c>
      <c r="Q21" s="35">
        <f>IF(ISBLANK(O21),0,IF(O21&gt;P21,IFERROR(VLOOKUP(O21-P21,$AE$3:$AG$30,2,0),26),IFERROR(VLOOKUP(P21-O21,$AE$3:$AG$30,3,0),0)))</f>
        <v>14</v>
      </c>
      <c r="R21" s="3">
        <v>17</v>
      </c>
      <c r="S21" s="2">
        <v>27</v>
      </c>
      <c r="T21" s="2">
        <f>IFERROR(VLOOKUP(R21,$A$3:$S$27,19,0),0)</f>
        <v>30</v>
      </c>
      <c r="U21" s="4">
        <f>IF(ISBLANK(S21),0,IF(S21&gt;T21,IFERROR(VLOOKUP(S21-T21,$AE$3:$AG$30,2,0),26),IFERROR(VLOOKUP(T21-S21,$AE$3:$AG$30,3,0),0)))</f>
        <v>10</v>
      </c>
      <c r="V21" s="3">
        <v>2</v>
      </c>
      <c r="W21" s="2">
        <v>17</v>
      </c>
      <c r="X21" s="2">
        <f>IFERROR(VLOOKUP(V21,$A$3:W$27,23,0),0)</f>
        <v>23</v>
      </c>
      <c r="Y21" s="4">
        <f>IF(ISBLANK(W21),0,IF(W21&gt;X21,IFERROR(VLOOKUP(W21-X21,$AE$3:$AG$30,2,0),26),IFERROR(VLOOKUP(X21-W21,$AE$3:$AG$30,3,0),0)))</f>
        <v>8</v>
      </c>
      <c r="Z21" s="27">
        <f>IFERROR(SUM(C21,G21,K21,O21,S21,W21)/SUM(D21,H21,L21,P21,T21,X21),10000)</f>
        <v>0.83838383838383834</v>
      </c>
      <c r="AA21" s="8">
        <f>SUM(E21,I21,M21,Q21,U21,Y21)</f>
        <v>65</v>
      </c>
      <c r="AB21" s="8">
        <f>AA21+Z21/100000</f>
        <v>65.000008383838377</v>
      </c>
      <c r="AC21" s="8">
        <f>RANK(AB21,AB:AB)</f>
        <v>17</v>
      </c>
      <c r="AE21" s="3">
        <v>17</v>
      </c>
      <c r="AF21" s="2">
        <v>23</v>
      </c>
      <c r="AG21" s="4">
        <f>26-AF21</f>
        <v>3</v>
      </c>
      <c r="AH21">
        <f t="shared" si="14"/>
        <v>22</v>
      </c>
      <c r="AI21" t="str">
        <f>VLOOKUP(AH21,Team!B:C,2,0)</f>
        <v>Johnny Lai</v>
      </c>
    </row>
    <row r="22" spans="1:35">
      <c r="A22" s="66">
        <v>20</v>
      </c>
      <c r="B22" s="47">
        <v>3</v>
      </c>
      <c r="C22" s="48">
        <v>6</v>
      </c>
      <c r="D22" s="48">
        <f>IFERROR(VLOOKUP(B22,$A$3:$C$27,3,0),0)</f>
        <v>41</v>
      </c>
      <c r="E22" s="49">
        <f>IF(ISBLANK(C22),0,IF(C22&gt;D22,IFERROR(VLOOKUP(C22-D22,$AE$3:$AG$30,2,0),26),IFERROR(VLOOKUP(D22-C22,$AE$3:$AG$30,3,0),0)))</f>
        <v>0</v>
      </c>
      <c r="F22" s="67" t="s">
        <v>42</v>
      </c>
      <c r="G22" s="68">
        <v>3</v>
      </c>
      <c r="H22" s="68">
        <v>40</v>
      </c>
      <c r="I22" s="69">
        <f>IF(ISBLANK(G22),0,IF(G22&gt;H22,IFERROR(VLOOKUP(G22-H22,$AE$3:$AG$30,2,0),26),IFERROR(VLOOKUP(H22-G22,$AE$3:$AG$30,3,0),0)))</f>
        <v>0</v>
      </c>
      <c r="J22" s="67" t="s">
        <v>48</v>
      </c>
      <c r="K22" s="68">
        <v>15</v>
      </c>
      <c r="L22" s="68">
        <v>8</v>
      </c>
      <c r="M22" s="69">
        <f>IF(ISBLANK(K22),0,IF(K22&gt;L22,IFERROR(VLOOKUP(K22-L22,$AE$3:$AG$30,2,0),26),IFERROR(VLOOKUP(L22-K22,$AE$3:$AG$30,3,0),0)))</f>
        <v>19</v>
      </c>
      <c r="N22" s="67" t="s">
        <v>50</v>
      </c>
      <c r="O22" s="68">
        <v>28</v>
      </c>
      <c r="P22" s="68">
        <v>7</v>
      </c>
      <c r="Q22" s="69">
        <f>IF(ISBLANK(O22),0,IF(O22&gt;P22,IFERROR(VLOOKUP(O22-P22,$AE$3:$AG$30,2,0),26),IFERROR(VLOOKUP(P22-O22,$AE$3:$AG$30,3,0),0)))</f>
        <v>24</v>
      </c>
      <c r="R22" s="47">
        <v>9</v>
      </c>
      <c r="S22" s="48">
        <v>0</v>
      </c>
      <c r="T22" s="48">
        <f>IFERROR(VLOOKUP(R22,$A$3:$S$27,19,0),0)</f>
        <v>33</v>
      </c>
      <c r="U22" s="49">
        <f>IF(ISBLANK(S22),0,IF(S22&gt;T22,IFERROR(VLOOKUP(S22-T22,$AE$3:$AG$30,2,0),26),IFERROR(VLOOKUP(T22-S22,$AE$3:$AG$30,3,0),0)))</f>
        <v>0</v>
      </c>
      <c r="V22" s="47">
        <v>23</v>
      </c>
      <c r="W22" s="48">
        <v>39</v>
      </c>
      <c r="X22" s="48">
        <f>IFERROR(VLOOKUP(V22,$A$3:W$27,23,0),0)</f>
        <v>24</v>
      </c>
      <c r="Y22" s="4">
        <f>IF(ISBLANK(W22),0,IF(W22&gt;X22,IFERROR(VLOOKUP(W22-X22,$AE$3:$AG$30,2,0),26),IFERROR(VLOOKUP(X22-W22,$AE$3:$AG$30,3,0),0)))</f>
        <v>22</v>
      </c>
      <c r="Z22" s="50">
        <f>IFERROR(SUM(C22,G22,K22,O22,S22,W22)/SUM(D22,H22,L22,P22,T22,X22),10000)</f>
        <v>0.59477124183006536</v>
      </c>
      <c r="AA22" s="46">
        <f>SUM(E22,I22,M22,Q22,U22,Y22)</f>
        <v>65</v>
      </c>
      <c r="AB22" s="46">
        <f>AA22+Z22/100000</f>
        <v>65.000005947712424</v>
      </c>
      <c r="AC22" s="46">
        <f>RANK(AB22,AB:AB)</f>
        <v>18</v>
      </c>
      <c r="AE22" s="47">
        <v>18</v>
      </c>
      <c r="AF22" s="48">
        <v>23</v>
      </c>
      <c r="AG22" s="49">
        <f>26-AF22</f>
        <v>3</v>
      </c>
      <c r="AH22">
        <f t="shared" si="14"/>
        <v>20</v>
      </c>
      <c r="AI22" t="str">
        <f>VLOOKUP(AH22,Team!B:C,2,0)</f>
        <v>Stanley Chow</v>
      </c>
    </row>
    <row r="23" spans="1:35">
      <c r="A23" s="8">
        <v>8</v>
      </c>
      <c r="B23" s="3">
        <v>18</v>
      </c>
      <c r="C23" s="2">
        <v>50</v>
      </c>
      <c r="D23" s="2">
        <f>IFERROR(VLOOKUP(B23,$A$3:$C$27,3,0),0)</f>
        <v>1</v>
      </c>
      <c r="E23" s="4">
        <f>IF(ISBLANK(C23),0,IF(C23&gt;D23,IFERROR(VLOOKUP(C23-D23,$AE$3:$AG$30,2,0),26),IFERROR(VLOOKUP(D23-C23,$AE$3:$AG$30,3,0),0)))</f>
        <v>26</v>
      </c>
      <c r="F23" s="3">
        <v>3</v>
      </c>
      <c r="G23" s="2">
        <v>36</v>
      </c>
      <c r="H23" s="2">
        <f>IFERROR(VLOOKUP(F23,$A$3:G$27,7,0),0)</f>
        <v>20</v>
      </c>
      <c r="I23" s="4">
        <f>IF(ISBLANK(G23),0,IF(G23&gt;H23,IFERROR(VLOOKUP(G23-H23,$AE$3:$AG$30,2,0),26),IFERROR(VLOOKUP(H23-G23,$AE$3:$AG$30,3,0),0)))</f>
        <v>22</v>
      </c>
      <c r="J23" s="3">
        <v>6</v>
      </c>
      <c r="K23" s="2">
        <v>5</v>
      </c>
      <c r="L23" s="2">
        <f>IFERROR(VLOOKUP(J23,$A$3:$K$27,11,0),0)</f>
        <v>9</v>
      </c>
      <c r="M23" s="4">
        <f>IF(ISBLANK(K23),0,IF(K23&gt;L23,IFERROR(VLOOKUP(K23-L23,$AE$3:$AG$30,2,0),26),IFERROR(VLOOKUP(L23-K23,$AE$3:$AG$30,3,0),0)))</f>
        <v>9</v>
      </c>
      <c r="N23" s="33">
        <v>15</v>
      </c>
      <c r="O23" s="34">
        <v>0</v>
      </c>
      <c r="P23" s="34">
        <f>IFERROR(VLOOKUP(N23,$A$3:$O$27,15,0),0)</f>
        <v>43</v>
      </c>
      <c r="Q23" s="35">
        <f>IF(ISBLANK(O23),0,IF(O23&gt;P23,IFERROR(VLOOKUP(O23-P23,$AE$3:$AG$30,2,0),26),IFERROR(VLOOKUP(P23-O23,$AE$3:$AG$30,3,0),0)))</f>
        <v>0</v>
      </c>
      <c r="R23" s="3">
        <v>4</v>
      </c>
      <c r="S23" s="2">
        <v>23</v>
      </c>
      <c r="T23" s="2">
        <f>IFERROR(VLOOKUP(R23,$A$3:$S$27,19,0),0)</f>
        <v>32</v>
      </c>
      <c r="U23" s="4">
        <f>IF(ISBLANK(S23),0,IF(S23&gt;T23,IFERROR(VLOOKUP(S23-T23,$AE$3:$AG$30,2,0),26),IFERROR(VLOOKUP(T23-S23,$AE$3:$AG$30,3,0),0)))</f>
        <v>6</v>
      </c>
      <c r="V23" s="3">
        <v>17</v>
      </c>
      <c r="W23" s="2">
        <v>12</v>
      </c>
      <c r="X23" s="2">
        <f>IFERROR(VLOOKUP(V23,$A$3:W$27,23,0),0)</f>
        <v>42</v>
      </c>
      <c r="Y23" s="4">
        <f>IF(ISBLANK(W23),0,IF(W23&gt;X23,IFERROR(VLOOKUP(W23-X23,$AE$3:$AG$30,2,0),26),IFERROR(VLOOKUP(X23-W23,$AE$3:$AG$30,3,0),0)))</f>
        <v>0</v>
      </c>
      <c r="Z23" s="27">
        <f>IFERROR(SUM(C23,G23,K23,O23,S23,W23)/SUM(D23,H23,L23,P23,T23,X23),10000)</f>
        <v>0.8571428571428571</v>
      </c>
      <c r="AA23" s="8">
        <f>SUM(E23,I23,M23,Q23,U23,Y23)</f>
        <v>63</v>
      </c>
      <c r="AB23" s="8">
        <f>AA23+Z23/100000</f>
        <v>63.000008571428573</v>
      </c>
      <c r="AC23" s="8">
        <f>RANK(AB23,AB:AB)</f>
        <v>19</v>
      </c>
      <c r="AE23" s="3">
        <v>19</v>
      </c>
      <c r="AF23" s="2">
        <v>23</v>
      </c>
      <c r="AG23" s="4">
        <f>26-AF23</f>
        <v>3</v>
      </c>
      <c r="AH23">
        <f t="shared" si="14"/>
        <v>8</v>
      </c>
      <c r="AI23" t="str">
        <f>VLOOKUP(AH23,Team!B:C,2,0)</f>
        <v>Tai Yau</v>
      </c>
    </row>
    <row r="24" spans="1:35">
      <c r="A24" s="8">
        <v>12</v>
      </c>
      <c r="B24" s="3">
        <v>9</v>
      </c>
      <c r="C24" s="2">
        <v>7</v>
      </c>
      <c r="D24" s="2">
        <f>IFERROR(VLOOKUP(B24,$A$3:$C$27,3,0),0)</f>
        <v>35</v>
      </c>
      <c r="E24" s="4">
        <f>IF(ISBLANK(C24),0,IF(C24&gt;D24,IFERROR(VLOOKUP(C24-D24,$AE$3:$AG$30,2,0),26),IFERROR(VLOOKUP(D24-C24,$AE$3:$AG$30,3,0),0)))</f>
        <v>0</v>
      </c>
      <c r="F24" s="3">
        <v>5</v>
      </c>
      <c r="G24" s="2">
        <v>28</v>
      </c>
      <c r="H24" s="2">
        <f>IFERROR(VLOOKUP(F24,$A$3:G$27,7,0),0)</f>
        <v>0</v>
      </c>
      <c r="I24" s="4">
        <f>IF(ISBLANK(G24),0,IF(G24&gt;H24,IFERROR(VLOOKUP(G24-H24,$AE$3:$AG$30,2,0),26),IFERROR(VLOOKUP(H24-G24,$AE$3:$AG$30,3,0),0)))</f>
        <v>26</v>
      </c>
      <c r="J24" s="3">
        <v>16</v>
      </c>
      <c r="K24" s="2">
        <v>9</v>
      </c>
      <c r="L24" s="2">
        <f>IFERROR(VLOOKUP(J24,$A$3:$K$27,11,0),0)</f>
        <v>46</v>
      </c>
      <c r="M24" s="4">
        <f>IF(ISBLANK(K24),0,IF(K24&gt;L24,IFERROR(VLOOKUP(K24-L24,$AE$3:$AG$30,2,0),26),IFERROR(VLOOKUP(L24-K24,$AE$3:$AG$30,3,0),0)))</f>
        <v>0</v>
      </c>
      <c r="N24" s="33">
        <v>7</v>
      </c>
      <c r="O24" s="34">
        <v>18</v>
      </c>
      <c r="P24" s="34">
        <f>IFERROR(VLOOKUP(N24,$A$3:$O$27,15,0),0)</f>
        <v>10</v>
      </c>
      <c r="Q24" s="35">
        <f>IF(ISBLANK(O24),0,IF(O24&gt;P24,IFERROR(VLOOKUP(O24-P24,$AE$3:$AG$30,2,0),26),IFERROR(VLOOKUP(P24-O24,$AE$3:$AG$30,3,0),0)))</f>
        <v>19</v>
      </c>
      <c r="R24" s="3">
        <v>18</v>
      </c>
      <c r="S24" s="2">
        <v>8</v>
      </c>
      <c r="T24" s="2">
        <f>IFERROR(VLOOKUP(R24,$A$3:$S$27,19,0),0)</f>
        <v>33</v>
      </c>
      <c r="U24" s="4">
        <f>IF(ISBLANK(S24),0,IF(S24&gt;T24,IFERROR(VLOOKUP(S24-T24,$AE$3:$AG$30,2,0),26),IFERROR(VLOOKUP(T24-S24,$AE$3:$AG$30,3,0),0)))</f>
        <v>1</v>
      </c>
      <c r="V24" s="3">
        <v>3</v>
      </c>
      <c r="W24" s="2">
        <v>9</v>
      </c>
      <c r="X24" s="2">
        <f>IFERROR(VLOOKUP(V24,$A$3:W$27,23,0),0)</f>
        <v>8</v>
      </c>
      <c r="Y24" s="4">
        <f>IF(ISBLANK(W24),0,IF(W24&gt;X24,IFERROR(VLOOKUP(W24-X24,$AE$3:$AG$30,2,0),26),IFERROR(VLOOKUP(X24-W24,$AE$3:$AG$30,3,0),0)))</f>
        <v>14</v>
      </c>
      <c r="Z24" s="27">
        <f>IFERROR(SUM(C24,G24,K24,O24,S24,W24)/SUM(D24,H24,L24,P24,T24,X24),10000)</f>
        <v>0.59848484848484851</v>
      </c>
      <c r="AA24" s="8">
        <f>SUM(E24,I24,M24,Q24,U24,Y24)</f>
        <v>60</v>
      </c>
      <c r="AB24" s="8">
        <f>AA24+Z24/100000</f>
        <v>60.000005984848485</v>
      </c>
      <c r="AC24" s="8">
        <f>RANK(AB24,AB:AB)</f>
        <v>20</v>
      </c>
      <c r="AE24" s="3">
        <v>20</v>
      </c>
      <c r="AF24" s="2">
        <v>24</v>
      </c>
      <c r="AG24" s="4">
        <f>26-AF24</f>
        <v>2</v>
      </c>
      <c r="AH24">
        <f t="shared" si="14"/>
        <v>12</v>
      </c>
      <c r="AI24" t="str">
        <f>VLOOKUP(AH24,Team!B:C,2,0)</f>
        <v>Sunny Lam, Anthony Ho</v>
      </c>
    </row>
    <row r="25" spans="1:35">
      <c r="A25" s="8">
        <v>7</v>
      </c>
      <c r="B25" s="3">
        <v>1</v>
      </c>
      <c r="C25" s="2">
        <v>12</v>
      </c>
      <c r="D25" s="2">
        <f>IFERROR(VLOOKUP(B25,$A$3:$C$27,3,0),0)</f>
        <v>27</v>
      </c>
      <c r="E25" s="4">
        <f>IF(ISBLANK(C25),0,IF(C25&gt;D25,IFERROR(VLOOKUP(C25-D25,$AE$3:$AG$30,2,0),26),IFERROR(VLOOKUP(D25-C25,$AE$3:$AG$30,3,0),0)))</f>
        <v>4</v>
      </c>
      <c r="F25" s="3">
        <v>14</v>
      </c>
      <c r="G25" s="2">
        <v>3</v>
      </c>
      <c r="H25" s="2">
        <f>IFERROR(VLOOKUP(F25,$A$3:G$27,7,0),0)</f>
        <v>32</v>
      </c>
      <c r="I25" s="4">
        <f>IF(ISBLANK(G25),0,IF(G25&gt;H25,IFERROR(VLOOKUP(G25-H25,$AE$3:$AG$30,2,0),26),IFERROR(VLOOKUP(H25-G25,$AE$3:$AG$30,3,0),0)))</f>
        <v>0</v>
      </c>
      <c r="J25" s="24" t="s">
        <v>46</v>
      </c>
      <c r="K25" s="25">
        <v>15</v>
      </c>
      <c r="L25" s="25">
        <v>13</v>
      </c>
      <c r="M25" s="26">
        <f>IF(ISBLANK(K25),0,IF(K25&gt;L25,IFERROR(VLOOKUP(K25-L25,$AE$3:$AG$30,2,0),26),IFERROR(VLOOKUP(L25-K25,$AE$3:$AG$30,3,0),0)))</f>
        <v>15</v>
      </c>
      <c r="N25" s="33">
        <v>12</v>
      </c>
      <c r="O25" s="34">
        <v>10</v>
      </c>
      <c r="P25" s="34">
        <f>IFERROR(VLOOKUP(N25,$A$3:$O$27,15,0),0)</f>
        <v>18</v>
      </c>
      <c r="Q25" s="35">
        <f>IF(ISBLANK(O25),0,IF(O25&gt;P25,IFERROR(VLOOKUP(O25-P25,$AE$3:$AG$30,2,0),26),IFERROR(VLOOKUP(P25-O25,$AE$3:$AG$30,3,0),0)))</f>
        <v>7</v>
      </c>
      <c r="R25" s="24" t="s">
        <v>50</v>
      </c>
      <c r="S25" s="25">
        <v>22</v>
      </c>
      <c r="T25" s="25">
        <v>37</v>
      </c>
      <c r="U25" s="26">
        <f>IF(ISBLANK(S25),0,IF(S25&gt;T25,IFERROR(VLOOKUP(S25-T25,$AE$3:$AG$30,2,0),26),IFERROR(VLOOKUP(T25-S25,$AE$3:$AG$30,3,0),0)))</f>
        <v>4</v>
      </c>
      <c r="V25" s="24" t="s">
        <v>50</v>
      </c>
      <c r="W25" s="25">
        <v>21</v>
      </c>
      <c r="X25" s="25">
        <v>7</v>
      </c>
      <c r="Y25" s="26">
        <f>IF(ISBLANK(W25),0,IF(W25&gt;X25,IFERROR(VLOOKUP(W25-X25,$AE$3:$AG$30,2,0),26),IFERROR(VLOOKUP(X25-W25,$AE$3:$AG$30,3,0),0)))</f>
        <v>22</v>
      </c>
      <c r="Z25" s="27">
        <f>IFERROR(SUM(C25,G25,K25,O25,S25,W25)/SUM(D25,H25,L25,P25,T25,X25),10000)</f>
        <v>0.61940298507462688</v>
      </c>
      <c r="AA25" s="8">
        <f>SUM(E25,I25,M25,Q25,U25,Y25)</f>
        <v>52</v>
      </c>
      <c r="AB25" s="8">
        <f>AA25+Z25/100000</f>
        <v>52.000006194029851</v>
      </c>
      <c r="AC25" s="8">
        <f>RANK(AB25,AB:AB)</f>
        <v>21</v>
      </c>
      <c r="AE25" s="3">
        <v>21</v>
      </c>
      <c r="AF25" s="2">
        <v>24</v>
      </c>
      <c r="AG25" s="4">
        <f>26-AF25</f>
        <v>2</v>
      </c>
      <c r="AH25">
        <f t="shared" si="14"/>
        <v>7</v>
      </c>
      <c r="AI25" t="str">
        <f>VLOOKUP(AH25,Team!B:C,2,0)</f>
        <v>Jack Wong, Gary Lam</v>
      </c>
    </row>
    <row r="26" spans="1:35">
      <c r="A26" s="8">
        <v>23</v>
      </c>
      <c r="B26" s="24" t="s">
        <v>39</v>
      </c>
      <c r="C26" s="25">
        <v>4</v>
      </c>
      <c r="D26" s="25">
        <v>33</v>
      </c>
      <c r="E26" s="26">
        <f>IF(ISBLANK(C26),0,IF(C26&gt;D26,IFERROR(VLOOKUP(C26-D26,$AE$3:$AG$30,2,0),26),IFERROR(VLOOKUP(D26-C26,$AE$3:$AG$30,3,0),0)))</f>
        <v>0</v>
      </c>
      <c r="F26" s="24" t="s">
        <v>43</v>
      </c>
      <c r="G26" s="25">
        <v>32</v>
      </c>
      <c r="H26" s="25">
        <v>1</v>
      </c>
      <c r="I26" s="26">
        <f>IF(ISBLANK(G26),0,IF(G26&gt;H26,IFERROR(VLOOKUP(G26-H26,$AE$3:$AG$30,2,0),26),IFERROR(VLOOKUP(H26-G26,$AE$3:$AG$30,3,0),0)))</f>
        <v>26</v>
      </c>
      <c r="J26" s="3">
        <v>19</v>
      </c>
      <c r="K26" s="2">
        <v>12</v>
      </c>
      <c r="L26" s="2">
        <f>IFERROR(VLOOKUP(J26,$A$3:$K$27,11,0),0)</f>
        <v>36</v>
      </c>
      <c r="M26" s="4">
        <f>IF(ISBLANK(K26),0,IF(K26&gt;L26,IFERROR(VLOOKUP(K26-L26,$AE$3:$AG$30,2,0),26),IFERROR(VLOOKUP(L26-K26,$AE$3:$AG$30,3,0),0)))</f>
        <v>1</v>
      </c>
      <c r="N26" s="33">
        <v>17</v>
      </c>
      <c r="O26" s="34">
        <v>19</v>
      </c>
      <c r="P26" s="34">
        <f>IFERROR(VLOOKUP(N26,$A$3:$O$27,15,0),0)</f>
        <v>23</v>
      </c>
      <c r="Q26" s="35">
        <f>IF(ISBLANK(O26),0,IF(O26&gt;P26,IFERROR(VLOOKUP(O26-P26,$AE$3:$AG$30,2,0),26),IFERROR(VLOOKUP(P26-O26,$AE$3:$AG$30,3,0),0)))</f>
        <v>9</v>
      </c>
      <c r="R26" s="3">
        <v>3</v>
      </c>
      <c r="S26" s="2">
        <v>9</v>
      </c>
      <c r="T26" s="2">
        <f>IFERROR(VLOOKUP(R26,$A$3:$S$27,19,0),0)</f>
        <v>13</v>
      </c>
      <c r="U26" s="4">
        <f>IF(ISBLANK(S26),0,IF(S26&gt;T26,IFERROR(VLOOKUP(S26-T26,$AE$3:$AG$30,2,0),26),IFERROR(VLOOKUP(T26-S26,$AE$3:$AG$30,3,0),0)))</f>
        <v>9</v>
      </c>
      <c r="V26" s="3">
        <v>20</v>
      </c>
      <c r="W26" s="2">
        <v>24</v>
      </c>
      <c r="X26" s="2">
        <f>IFERROR(VLOOKUP(V26,$A$3:W$27,23,0),0)</f>
        <v>39</v>
      </c>
      <c r="Y26" s="4">
        <f>IF(ISBLANK(W26),0,IF(W26&gt;X26,IFERROR(VLOOKUP(W26-X26,$AE$3:$AG$30,2,0),26),IFERROR(VLOOKUP(X26-W26,$AE$3:$AG$30,3,0),0)))</f>
        <v>4</v>
      </c>
      <c r="Z26" s="27">
        <f>IFERROR(SUM(C26,G26,K26,O26,S26,W26)/SUM(D26,H26,L26,P26,T26,X26),10000)</f>
        <v>0.68965517241379315</v>
      </c>
      <c r="AA26" s="8">
        <f>SUM(E26,I26,M26,Q26,U26,Y26)</f>
        <v>49</v>
      </c>
      <c r="AB26" s="8">
        <f>AA26+Z26/100000</f>
        <v>49.000006896551724</v>
      </c>
      <c r="AC26" s="8">
        <f>RANK(AB26,AB:AB)</f>
        <v>22</v>
      </c>
      <c r="AE26" s="3">
        <v>22</v>
      </c>
      <c r="AF26" s="2">
        <v>24</v>
      </c>
      <c r="AG26" s="4">
        <f>26-AF26</f>
        <v>2</v>
      </c>
      <c r="AH26">
        <f t="shared" si="14"/>
        <v>23</v>
      </c>
      <c r="AI26" t="str">
        <f>VLOOKUP(AH26,Team!B:C,2,0)</f>
        <v>Kate Spade</v>
      </c>
    </row>
    <row r="27" spans="1:35" ht="15.75" thickBot="1">
      <c r="A27" s="28">
        <v>5</v>
      </c>
      <c r="B27" s="5">
        <v>16</v>
      </c>
      <c r="C27" s="6">
        <v>14</v>
      </c>
      <c r="D27" s="6">
        <f>IFERROR(VLOOKUP(B27,$A$3:$C$27,3,0),0)</f>
        <v>43</v>
      </c>
      <c r="E27" s="7">
        <f>IF(ISBLANK(C27),0,IF(C27&gt;D27,IFERROR(VLOOKUP(C27-D27,$AE$3:$AG$30,2,0),26),IFERROR(VLOOKUP(D27-C27,$AE$3:$AG$30,3,0),0)))</f>
        <v>0</v>
      </c>
      <c r="F27" s="5">
        <v>12</v>
      </c>
      <c r="G27" s="6">
        <v>0</v>
      </c>
      <c r="H27" s="6">
        <f>IFERROR(VLOOKUP(F27,$A$3:G$27,7,0),0)</f>
        <v>28</v>
      </c>
      <c r="I27" s="7">
        <f>IF(ISBLANK(G27),0,IF(G27&gt;H27,IFERROR(VLOOKUP(G27-H27,$AE$3:$AG$30,2,0),26),IFERROR(VLOOKUP(H27-G27,$AE$3:$AG$30,3,0),0)))</f>
        <v>0</v>
      </c>
      <c r="J27" s="29" t="s">
        <v>47</v>
      </c>
      <c r="K27" s="30">
        <v>13</v>
      </c>
      <c r="L27" s="30">
        <v>22</v>
      </c>
      <c r="M27" s="31">
        <f>IF(ISBLANK(K27),0,IF(K27&gt;L27,IFERROR(VLOOKUP(K27-L27,$AE$3:$AG$30,2,0),26),IFERROR(VLOOKUP(L27-K27,$AE$3:$AG$30,3,0),0)))</f>
        <v>6</v>
      </c>
      <c r="N27" s="29" t="s">
        <v>49</v>
      </c>
      <c r="O27" s="30">
        <v>8</v>
      </c>
      <c r="P27" s="30">
        <v>18</v>
      </c>
      <c r="Q27" s="31">
        <f>IF(ISBLANK(O27),0,IF(O27&gt;P27,IFERROR(VLOOKUP(O27-P27,$AE$3:$AG$30,2,0),26),IFERROR(VLOOKUP(P27-O27,$AE$3:$AG$30,3,0),0)))</f>
        <v>6</v>
      </c>
      <c r="R27" s="24" t="s">
        <v>51</v>
      </c>
      <c r="S27" s="30">
        <v>1</v>
      </c>
      <c r="T27" s="30">
        <v>48</v>
      </c>
      <c r="U27" s="31">
        <f>IF(ISBLANK(S27),0,IF(S27&gt;T27,IFERROR(VLOOKUP(S27-T27,$AE$3:$AG$30,2,0),26),IFERROR(VLOOKUP(T27-S27,$AE$3:$AG$30,3,0),0)))</f>
        <v>0</v>
      </c>
      <c r="V27" s="24" t="s">
        <v>51</v>
      </c>
      <c r="W27" s="30">
        <v>1</v>
      </c>
      <c r="X27" s="30">
        <v>48</v>
      </c>
      <c r="Y27" s="31">
        <f>IF(ISBLANK(W27),0,IF(W27&gt;X27,IFERROR(VLOOKUP(W27-X27,$AE$3:$AG$30,2,0),26),IFERROR(VLOOKUP(X27-W27,$AE$3:$AG$30,3,0),0)))</f>
        <v>0</v>
      </c>
      <c r="Z27" s="32">
        <f>IFERROR(SUM(C27,G27,K27,O27,S27,W27)/SUM(D27,H27,L27,P27,T27,X27),10000)</f>
        <v>0.17874396135265699</v>
      </c>
      <c r="AA27" s="9">
        <f>SUM(E27,I27,M27,Q27,U27,Y27)</f>
        <v>12</v>
      </c>
      <c r="AB27" s="9">
        <f>AA27+Z27/100000</f>
        <v>12.000001787439613</v>
      </c>
      <c r="AC27" s="9">
        <f>RANK(AB27,AB:AB)</f>
        <v>23</v>
      </c>
      <c r="AE27" s="3">
        <v>23</v>
      </c>
      <c r="AF27" s="2">
        <v>25</v>
      </c>
      <c r="AG27" s="4">
        <f>26-AF27</f>
        <v>1</v>
      </c>
      <c r="AH27">
        <f t="shared" si="14"/>
        <v>5</v>
      </c>
      <c r="AI27" t="str">
        <f>VLOOKUP(AH27,Team!B:C,2,0)</f>
        <v>Tommy</v>
      </c>
    </row>
    <row r="28" spans="1:35">
      <c r="AE28" s="3">
        <v>24</v>
      </c>
      <c r="AF28" s="2">
        <v>25</v>
      </c>
      <c r="AG28" s="4">
        <f>26-AF28</f>
        <v>1</v>
      </c>
    </row>
    <row r="29" spans="1:35">
      <c r="AE29" s="3">
        <v>25</v>
      </c>
      <c r="AF29" s="2">
        <v>25</v>
      </c>
      <c r="AG29" s="4">
        <f>26-AF29</f>
        <v>1</v>
      </c>
    </row>
    <row r="30" spans="1:35">
      <c r="AE30" s="3">
        <v>26</v>
      </c>
      <c r="AF30" s="2">
        <v>26</v>
      </c>
      <c r="AG30" s="4">
        <f>26-AF30</f>
        <v>0</v>
      </c>
    </row>
    <row r="32" spans="1:35">
      <c r="AD32">
        <v>21</v>
      </c>
      <c r="AE32" s="36">
        <f>VLOOKUP(22,AC:AH,6,0)</f>
        <v>23</v>
      </c>
      <c r="AF32">
        <f>VLOOKUP(23,AC:AH,6,0)</f>
        <v>5</v>
      </c>
      <c r="AG32" s="36" t="str">
        <f>CONCATENATE(MIN(AE32:AF32),", ",MAX(AE32:AF32))</f>
        <v>5, 23</v>
      </c>
    </row>
    <row r="33" spans="30:33">
      <c r="AD33">
        <v>22</v>
      </c>
      <c r="AE33" s="36">
        <f>VLOOKUP(21,AC:AH,6,0)</f>
        <v>7</v>
      </c>
      <c r="AF33">
        <f>VLOOKUP(23,AC:AH,6,0)</f>
        <v>5</v>
      </c>
      <c r="AG33" s="36" t="str">
        <f>CONCATENATE(MIN(AE33:AF33),", ",MAX(AE33:AF33))</f>
        <v>5, 7</v>
      </c>
    </row>
    <row r="34" spans="30:33">
      <c r="AD34">
        <v>23</v>
      </c>
      <c r="AE34" s="36">
        <f>VLOOKUP(22,AC:AH,6,0)</f>
        <v>23</v>
      </c>
      <c r="AF34">
        <f>VLOOKUP(21,AC:AH,6,0)</f>
        <v>7</v>
      </c>
      <c r="AG34" s="36" t="str">
        <f>CONCATENATE(MIN(AE34:AF34),", ",MAX(AE34:AF34))</f>
        <v>7, 23</v>
      </c>
    </row>
  </sheetData>
  <sortState ref="A6:AC27">
    <sortCondition ref="AC6:AC27"/>
  </sortState>
  <mergeCells count="12">
    <mergeCell ref="A3:A4"/>
    <mergeCell ref="B3:E3"/>
    <mergeCell ref="F3:I3"/>
    <mergeCell ref="J3:M3"/>
    <mergeCell ref="N3:Q3"/>
    <mergeCell ref="AF3:AG3"/>
    <mergeCell ref="R3:U3"/>
    <mergeCell ref="V3:Y3"/>
    <mergeCell ref="AA3:AA4"/>
    <mergeCell ref="AC3:AC4"/>
    <mergeCell ref="Z3:Z4"/>
    <mergeCell ref="AB3:A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</vt:lpstr>
      <vt:lpstr>Scoreboard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hkpu</dc:creator>
  <cp:lastModifiedBy>charles</cp:lastModifiedBy>
  <dcterms:created xsi:type="dcterms:W3CDTF">2012-12-02T01:04:36Z</dcterms:created>
  <dcterms:modified xsi:type="dcterms:W3CDTF">2012-12-03T01:25:10Z</dcterms:modified>
</cp:coreProperties>
</file>